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orget\AppData\Local\Microsoft\Windows\INetCache\Content.Outlook\DKDGZP1L\"/>
    </mc:Choice>
  </mc:AlternateContent>
  <xr:revisionPtr revIDLastSave="0" documentId="13_ncr:1_{198BD24D-95A5-4744-B1C8-403F8A91F617}" xr6:coauthVersionLast="47" xr6:coauthVersionMax="47" xr10:uidLastSave="{00000000-0000-0000-0000-000000000000}"/>
  <bookViews>
    <workbookView xWindow="-108" yWindow="-108" windowWidth="23256" windowHeight="12576" xr2:uid="{4D64C091-BB49-48CE-AC17-1B952353BEB9}"/>
  </bookViews>
  <sheets>
    <sheet name="Matrix - Per Operation" sheetId="1" r:id="rId1"/>
    <sheet name="Services Provided" sheetId="3" r:id="rId2"/>
    <sheet name="Summary Totals" sheetId="2" r:id="rId3"/>
    <sheet name="Deduplicated Source Data" sheetId="4" r:id="rId4"/>
  </sheets>
  <definedNames>
    <definedName name="_xlnm._FilterDatabase" localSheetId="0" hidden="1">'Matrix - Per Operation'!$A$1:$V$90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 l="1"/>
  <c r="M5" i="2"/>
  <c r="M6" i="2"/>
  <c r="M7" i="2"/>
  <c r="M8" i="2"/>
  <c r="M9" i="2"/>
  <c r="M10" i="2"/>
  <c r="M11" i="2"/>
  <c r="M12" i="2"/>
  <c r="M13" i="2"/>
  <c r="M14" i="2"/>
  <c r="M15" i="2"/>
  <c r="M16" i="2"/>
  <c r="M17" i="2"/>
  <c r="M2" i="2"/>
  <c r="M3" i="2"/>
  <c r="E2" i="2"/>
  <c r="F2" i="2"/>
  <c r="G2" i="2"/>
  <c r="H2" i="2"/>
  <c r="I2" i="2"/>
  <c r="J2" i="2"/>
  <c r="K2" i="2"/>
  <c r="D2" i="2"/>
  <c r="C2" i="2"/>
  <c r="L3" i="1"/>
  <c r="M3" i="1"/>
  <c r="N3" i="1"/>
  <c r="O3" i="1"/>
  <c r="P3" i="1"/>
  <c r="Q3" i="1"/>
  <c r="R3" i="1"/>
  <c r="S3" i="1"/>
  <c r="L4" i="1"/>
  <c r="M4" i="1"/>
  <c r="N4" i="1"/>
  <c r="O4" i="1"/>
  <c r="P4" i="1"/>
  <c r="Q4" i="1"/>
  <c r="R4" i="1"/>
  <c r="S4" i="1"/>
  <c r="L5" i="1"/>
  <c r="M5" i="1"/>
  <c r="N5" i="1"/>
  <c r="O5" i="1"/>
  <c r="P5" i="1"/>
  <c r="Q5" i="1"/>
  <c r="R5" i="1"/>
  <c r="S5" i="1"/>
  <c r="L6" i="1"/>
  <c r="M6" i="1"/>
  <c r="N6" i="1"/>
  <c r="O6" i="1"/>
  <c r="P6" i="1"/>
  <c r="Q6" i="1"/>
  <c r="R6" i="1"/>
  <c r="S6" i="1"/>
  <c r="L7" i="1"/>
  <c r="M7" i="1"/>
  <c r="N7" i="1"/>
  <c r="O7" i="1"/>
  <c r="P7" i="1"/>
  <c r="Q7" i="1"/>
  <c r="R7" i="1"/>
  <c r="S7" i="1"/>
  <c r="L8" i="1"/>
  <c r="M8" i="1"/>
  <c r="N8" i="1"/>
  <c r="O8" i="1"/>
  <c r="P8" i="1"/>
  <c r="Q8" i="1"/>
  <c r="R8" i="1"/>
  <c r="S8" i="1"/>
  <c r="L9" i="1"/>
  <c r="M9" i="1"/>
  <c r="N9" i="1"/>
  <c r="O9" i="1"/>
  <c r="P9" i="1"/>
  <c r="Q9" i="1"/>
  <c r="R9" i="1"/>
  <c r="S9" i="1"/>
  <c r="L10" i="1"/>
  <c r="M10" i="1"/>
  <c r="N10" i="1"/>
  <c r="O10" i="1"/>
  <c r="P10" i="1"/>
  <c r="Q10" i="1"/>
  <c r="R10" i="1"/>
  <c r="S10" i="1"/>
  <c r="L11" i="1"/>
  <c r="M11" i="1"/>
  <c r="N11" i="1"/>
  <c r="O11" i="1"/>
  <c r="P11" i="1"/>
  <c r="Q11" i="1"/>
  <c r="R11" i="1"/>
  <c r="S11" i="1"/>
  <c r="L12" i="1"/>
  <c r="M12" i="1"/>
  <c r="N12" i="1"/>
  <c r="O12" i="1"/>
  <c r="P12" i="1"/>
  <c r="Q12" i="1"/>
  <c r="R12" i="1"/>
  <c r="S12" i="1"/>
  <c r="L13" i="1"/>
  <c r="M13" i="1"/>
  <c r="N13" i="1"/>
  <c r="O13" i="1"/>
  <c r="P13" i="1"/>
  <c r="Q13" i="1"/>
  <c r="R13" i="1"/>
  <c r="S13" i="1"/>
  <c r="L14" i="1"/>
  <c r="M14" i="1"/>
  <c r="N14" i="1"/>
  <c r="O14" i="1"/>
  <c r="P14" i="1"/>
  <c r="Q14" i="1"/>
  <c r="R14" i="1"/>
  <c r="S14" i="1"/>
  <c r="L15" i="1"/>
  <c r="M15" i="1"/>
  <c r="N15" i="1"/>
  <c r="O15" i="1"/>
  <c r="P15" i="1"/>
  <c r="Q15" i="1"/>
  <c r="R15" i="1"/>
  <c r="S15" i="1"/>
  <c r="L16" i="1"/>
  <c r="M16" i="1"/>
  <c r="N16" i="1"/>
  <c r="O16" i="1"/>
  <c r="P16" i="1"/>
  <c r="Q16" i="1"/>
  <c r="R16" i="1"/>
  <c r="S16" i="1"/>
  <c r="L17" i="1"/>
  <c r="M17" i="1"/>
  <c r="N17" i="1"/>
  <c r="O17" i="1"/>
  <c r="P17" i="1"/>
  <c r="Q17" i="1"/>
  <c r="R17" i="1"/>
  <c r="S17" i="1"/>
  <c r="L18" i="1"/>
  <c r="M18" i="1"/>
  <c r="N18" i="1"/>
  <c r="O18" i="1"/>
  <c r="P18" i="1"/>
  <c r="Q18" i="1"/>
  <c r="R18" i="1"/>
  <c r="S18" i="1"/>
  <c r="L19" i="1"/>
  <c r="M19" i="1"/>
  <c r="N19" i="1"/>
  <c r="O19" i="1"/>
  <c r="P19" i="1"/>
  <c r="Q19" i="1"/>
  <c r="R19" i="1"/>
  <c r="S19" i="1"/>
  <c r="L20" i="1"/>
  <c r="M20" i="1"/>
  <c r="N20" i="1"/>
  <c r="O20" i="1"/>
  <c r="P20" i="1"/>
  <c r="Q20" i="1"/>
  <c r="R20" i="1"/>
  <c r="S20" i="1"/>
  <c r="L21" i="1"/>
  <c r="M21" i="1"/>
  <c r="N21" i="1"/>
  <c r="O21" i="1"/>
  <c r="P21" i="1"/>
  <c r="Q21" i="1"/>
  <c r="R21" i="1"/>
  <c r="S21" i="1"/>
  <c r="L22" i="1"/>
  <c r="M22" i="1"/>
  <c r="N22" i="1"/>
  <c r="O22" i="1"/>
  <c r="P22" i="1"/>
  <c r="Q22" i="1"/>
  <c r="R22" i="1"/>
  <c r="S22" i="1"/>
  <c r="L23" i="1"/>
  <c r="M23" i="1"/>
  <c r="N23" i="1"/>
  <c r="O23" i="1"/>
  <c r="P23" i="1"/>
  <c r="Q23" i="1"/>
  <c r="R23" i="1"/>
  <c r="S23" i="1"/>
  <c r="L24" i="1"/>
  <c r="M24" i="1"/>
  <c r="N24" i="1"/>
  <c r="O24" i="1"/>
  <c r="P24" i="1"/>
  <c r="Q24" i="1"/>
  <c r="R24" i="1"/>
  <c r="S24" i="1"/>
  <c r="L25" i="1"/>
  <c r="M25" i="1"/>
  <c r="N25" i="1"/>
  <c r="O25" i="1"/>
  <c r="P25" i="1"/>
  <c r="Q25" i="1"/>
  <c r="R25" i="1"/>
  <c r="S25" i="1"/>
  <c r="L26" i="1"/>
  <c r="M26" i="1"/>
  <c r="N26" i="1"/>
  <c r="O26" i="1"/>
  <c r="P26" i="1"/>
  <c r="Q26" i="1"/>
  <c r="R26" i="1"/>
  <c r="S26" i="1"/>
  <c r="L27" i="1"/>
  <c r="M27" i="1"/>
  <c r="N27" i="1"/>
  <c r="O27" i="1"/>
  <c r="P27" i="1"/>
  <c r="Q27" i="1"/>
  <c r="R27" i="1"/>
  <c r="S27" i="1"/>
  <c r="L28" i="1"/>
  <c r="M28" i="1"/>
  <c r="N28" i="1"/>
  <c r="O28" i="1"/>
  <c r="P28" i="1"/>
  <c r="Q28" i="1"/>
  <c r="R28" i="1"/>
  <c r="S28" i="1"/>
  <c r="L29" i="1"/>
  <c r="M29" i="1"/>
  <c r="N29" i="1"/>
  <c r="O29" i="1"/>
  <c r="P29" i="1"/>
  <c r="Q29" i="1"/>
  <c r="R29" i="1"/>
  <c r="S29" i="1"/>
  <c r="L30" i="1"/>
  <c r="M30" i="1"/>
  <c r="N30" i="1"/>
  <c r="O30" i="1"/>
  <c r="P30" i="1"/>
  <c r="Q30" i="1"/>
  <c r="R30" i="1"/>
  <c r="S30" i="1"/>
  <c r="L31" i="1"/>
  <c r="M31" i="1"/>
  <c r="N31" i="1"/>
  <c r="O31" i="1"/>
  <c r="P31" i="1"/>
  <c r="Q31" i="1"/>
  <c r="R31" i="1"/>
  <c r="S31" i="1"/>
  <c r="L32" i="1"/>
  <c r="M32" i="1"/>
  <c r="N32" i="1"/>
  <c r="O32" i="1"/>
  <c r="P32" i="1"/>
  <c r="Q32" i="1"/>
  <c r="R32" i="1"/>
  <c r="S32" i="1"/>
  <c r="L33" i="1"/>
  <c r="M33" i="1"/>
  <c r="N33" i="1"/>
  <c r="O33" i="1"/>
  <c r="P33" i="1"/>
  <c r="Q33" i="1"/>
  <c r="R33" i="1"/>
  <c r="S33" i="1"/>
  <c r="L34" i="1"/>
  <c r="M34" i="1"/>
  <c r="N34" i="1"/>
  <c r="O34" i="1"/>
  <c r="P34" i="1"/>
  <c r="Q34" i="1"/>
  <c r="R34" i="1"/>
  <c r="S34" i="1"/>
  <c r="L35" i="1"/>
  <c r="M35" i="1"/>
  <c r="N35" i="1"/>
  <c r="O35" i="1"/>
  <c r="P35" i="1"/>
  <c r="Q35" i="1"/>
  <c r="R35" i="1"/>
  <c r="S35" i="1"/>
  <c r="L36" i="1"/>
  <c r="M36" i="1"/>
  <c r="N36" i="1"/>
  <c r="O36" i="1"/>
  <c r="P36" i="1"/>
  <c r="Q36" i="1"/>
  <c r="R36" i="1"/>
  <c r="S36" i="1"/>
  <c r="L37" i="1"/>
  <c r="M37" i="1"/>
  <c r="N37" i="1"/>
  <c r="O37" i="1"/>
  <c r="P37" i="1"/>
  <c r="Q37" i="1"/>
  <c r="R37" i="1"/>
  <c r="S37" i="1"/>
  <c r="L38" i="1"/>
  <c r="M38" i="1"/>
  <c r="N38" i="1"/>
  <c r="O38" i="1"/>
  <c r="P38" i="1"/>
  <c r="Q38" i="1"/>
  <c r="R38" i="1"/>
  <c r="S38" i="1"/>
  <c r="L39" i="1"/>
  <c r="M39" i="1"/>
  <c r="N39" i="1"/>
  <c r="O39" i="1"/>
  <c r="P39" i="1"/>
  <c r="Q39" i="1"/>
  <c r="R39" i="1"/>
  <c r="S39" i="1"/>
  <c r="L40" i="1"/>
  <c r="M40" i="1"/>
  <c r="N40" i="1"/>
  <c r="O40" i="1"/>
  <c r="P40" i="1"/>
  <c r="Q40" i="1"/>
  <c r="R40" i="1"/>
  <c r="S40" i="1"/>
  <c r="L41" i="1"/>
  <c r="M41" i="1"/>
  <c r="N41" i="1"/>
  <c r="O41" i="1"/>
  <c r="P41" i="1"/>
  <c r="Q41" i="1"/>
  <c r="R41" i="1"/>
  <c r="S41" i="1"/>
  <c r="L42" i="1"/>
  <c r="M42" i="1"/>
  <c r="N42" i="1"/>
  <c r="O42" i="1"/>
  <c r="P42" i="1"/>
  <c r="Q42" i="1"/>
  <c r="R42" i="1"/>
  <c r="S42" i="1"/>
  <c r="L43" i="1"/>
  <c r="M43" i="1"/>
  <c r="N43" i="1"/>
  <c r="O43" i="1"/>
  <c r="P43" i="1"/>
  <c r="Q43" i="1"/>
  <c r="R43" i="1"/>
  <c r="S43" i="1"/>
  <c r="L44" i="1"/>
  <c r="M44" i="1"/>
  <c r="N44" i="1"/>
  <c r="O44" i="1"/>
  <c r="P44" i="1"/>
  <c r="Q44" i="1"/>
  <c r="R44" i="1"/>
  <c r="S44" i="1"/>
  <c r="L45" i="1"/>
  <c r="M45" i="1"/>
  <c r="N45" i="1"/>
  <c r="O45" i="1"/>
  <c r="P45" i="1"/>
  <c r="Q45" i="1"/>
  <c r="R45" i="1"/>
  <c r="S45" i="1"/>
  <c r="L46" i="1"/>
  <c r="M46" i="1"/>
  <c r="N46" i="1"/>
  <c r="O46" i="1"/>
  <c r="P46" i="1"/>
  <c r="Q46" i="1"/>
  <c r="R46" i="1"/>
  <c r="S46" i="1"/>
  <c r="L47" i="1"/>
  <c r="M47" i="1"/>
  <c r="N47" i="1"/>
  <c r="O47" i="1"/>
  <c r="P47" i="1"/>
  <c r="Q47" i="1"/>
  <c r="R47" i="1"/>
  <c r="S47" i="1"/>
  <c r="L48" i="1"/>
  <c r="M48" i="1"/>
  <c r="N48" i="1"/>
  <c r="O48" i="1"/>
  <c r="P48" i="1"/>
  <c r="Q48" i="1"/>
  <c r="R48" i="1"/>
  <c r="S48" i="1"/>
  <c r="L49" i="1"/>
  <c r="M49" i="1"/>
  <c r="N49" i="1"/>
  <c r="O49" i="1"/>
  <c r="P49" i="1"/>
  <c r="Q49" i="1"/>
  <c r="R49" i="1"/>
  <c r="S49" i="1"/>
  <c r="L50" i="1"/>
  <c r="M50" i="1"/>
  <c r="N50" i="1"/>
  <c r="O50" i="1"/>
  <c r="P50" i="1"/>
  <c r="Q50" i="1"/>
  <c r="R50" i="1"/>
  <c r="S50" i="1"/>
  <c r="L51" i="1"/>
  <c r="M51" i="1"/>
  <c r="N51" i="1"/>
  <c r="O51" i="1"/>
  <c r="P51" i="1"/>
  <c r="Q51" i="1"/>
  <c r="R51" i="1"/>
  <c r="S51" i="1"/>
  <c r="L52" i="1"/>
  <c r="M52" i="1"/>
  <c r="N52" i="1"/>
  <c r="O52" i="1"/>
  <c r="P52" i="1"/>
  <c r="Q52" i="1"/>
  <c r="R52" i="1"/>
  <c r="S52" i="1"/>
  <c r="L53" i="1"/>
  <c r="M53" i="1"/>
  <c r="N53" i="1"/>
  <c r="O53" i="1"/>
  <c r="P53" i="1"/>
  <c r="Q53" i="1"/>
  <c r="R53" i="1"/>
  <c r="S53" i="1"/>
  <c r="L54" i="1"/>
  <c r="M54" i="1"/>
  <c r="N54" i="1"/>
  <c r="O54" i="1"/>
  <c r="P54" i="1"/>
  <c r="Q54" i="1"/>
  <c r="R54" i="1"/>
  <c r="S54" i="1"/>
  <c r="L55" i="1"/>
  <c r="M55" i="1"/>
  <c r="N55" i="1"/>
  <c r="O55" i="1"/>
  <c r="P55" i="1"/>
  <c r="Q55" i="1"/>
  <c r="R55" i="1"/>
  <c r="S55" i="1"/>
  <c r="L56" i="1"/>
  <c r="M56" i="1"/>
  <c r="N56" i="1"/>
  <c r="O56" i="1"/>
  <c r="P56" i="1"/>
  <c r="Q56" i="1"/>
  <c r="R56" i="1"/>
  <c r="S56" i="1"/>
  <c r="L57" i="1"/>
  <c r="M57" i="1"/>
  <c r="N57" i="1"/>
  <c r="O57" i="1"/>
  <c r="P57" i="1"/>
  <c r="Q57" i="1"/>
  <c r="R57" i="1"/>
  <c r="S57" i="1"/>
  <c r="L58" i="1"/>
  <c r="M58" i="1"/>
  <c r="N58" i="1"/>
  <c r="O58" i="1"/>
  <c r="P58" i="1"/>
  <c r="Q58" i="1"/>
  <c r="R58" i="1"/>
  <c r="S58" i="1"/>
  <c r="L59" i="1"/>
  <c r="M59" i="1"/>
  <c r="N59" i="1"/>
  <c r="O59" i="1"/>
  <c r="P59" i="1"/>
  <c r="Q59" i="1"/>
  <c r="R59" i="1"/>
  <c r="S59" i="1"/>
  <c r="L60" i="1"/>
  <c r="M60" i="1"/>
  <c r="N60" i="1"/>
  <c r="O60" i="1"/>
  <c r="P60" i="1"/>
  <c r="Q60" i="1"/>
  <c r="R60" i="1"/>
  <c r="S60" i="1"/>
  <c r="L61" i="1"/>
  <c r="M61" i="1"/>
  <c r="N61" i="1"/>
  <c r="O61" i="1"/>
  <c r="P61" i="1"/>
  <c r="Q61" i="1"/>
  <c r="R61" i="1"/>
  <c r="S61" i="1"/>
  <c r="L62" i="1"/>
  <c r="M62" i="1"/>
  <c r="N62" i="1"/>
  <c r="O62" i="1"/>
  <c r="P62" i="1"/>
  <c r="Q62" i="1"/>
  <c r="R62" i="1"/>
  <c r="S62" i="1"/>
  <c r="L63" i="1"/>
  <c r="M63" i="1"/>
  <c r="N63" i="1"/>
  <c r="O63" i="1"/>
  <c r="P63" i="1"/>
  <c r="Q63" i="1"/>
  <c r="R63" i="1"/>
  <c r="S63" i="1"/>
  <c r="L64" i="1"/>
  <c r="M64" i="1"/>
  <c r="N64" i="1"/>
  <c r="O64" i="1"/>
  <c r="P64" i="1"/>
  <c r="Q64" i="1"/>
  <c r="R64" i="1"/>
  <c r="S64" i="1"/>
  <c r="L65" i="1"/>
  <c r="M65" i="1"/>
  <c r="N65" i="1"/>
  <c r="O65" i="1"/>
  <c r="P65" i="1"/>
  <c r="Q65" i="1"/>
  <c r="R65" i="1"/>
  <c r="S65" i="1"/>
  <c r="L66" i="1"/>
  <c r="M66" i="1"/>
  <c r="N66" i="1"/>
  <c r="O66" i="1"/>
  <c r="P66" i="1"/>
  <c r="Q66" i="1"/>
  <c r="R66" i="1"/>
  <c r="S66" i="1"/>
  <c r="L67" i="1"/>
  <c r="M67" i="1"/>
  <c r="N67" i="1"/>
  <c r="O67" i="1"/>
  <c r="P67" i="1"/>
  <c r="Q67" i="1"/>
  <c r="R67" i="1"/>
  <c r="S67" i="1"/>
  <c r="L68" i="1"/>
  <c r="M68" i="1"/>
  <c r="N68" i="1"/>
  <c r="O68" i="1"/>
  <c r="P68" i="1"/>
  <c r="Q68" i="1"/>
  <c r="R68" i="1"/>
  <c r="S68" i="1"/>
  <c r="L69" i="1"/>
  <c r="M69" i="1"/>
  <c r="N69" i="1"/>
  <c r="O69" i="1"/>
  <c r="P69" i="1"/>
  <c r="Q69" i="1"/>
  <c r="R69" i="1"/>
  <c r="S69" i="1"/>
  <c r="L70" i="1"/>
  <c r="M70" i="1"/>
  <c r="N70" i="1"/>
  <c r="O70" i="1"/>
  <c r="P70" i="1"/>
  <c r="Q70" i="1"/>
  <c r="R70" i="1"/>
  <c r="S70" i="1"/>
  <c r="L71" i="1"/>
  <c r="M71" i="1"/>
  <c r="N71" i="1"/>
  <c r="O71" i="1"/>
  <c r="P71" i="1"/>
  <c r="Q71" i="1"/>
  <c r="R71" i="1"/>
  <c r="S71" i="1"/>
  <c r="L72" i="1"/>
  <c r="M72" i="1"/>
  <c r="N72" i="1"/>
  <c r="O72" i="1"/>
  <c r="P72" i="1"/>
  <c r="Q72" i="1"/>
  <c r="R72" i="1"/>
  <c r="S72" i="1"/>
  <c r="L73" i="1"/>
  <c r="M73" i="1"/>
  <c r="N73" i="1"/>
  <c r="O73" i="1"/>
  <c r="P73" i="1"/>
  <c r="Q73" i="1"/>
  <c r="R73" i="1"/>
  <c r="S73" i="1"/>
  <c r="L74" i="1"/>
  <c r="M74" i="1"/>
  <c r="N74" i="1"/>
  <c r="O74" i="1"/>
  <c r="P74" i="1"/>
  <c r="Q74" i="1"/>
  <c r="R74" i="1"/>
  <c r="S74" i="1"/>
  <c r="L75" i="1"/>
  <c r="M75" i="1"/>
  <c r="N75" i="1"/>
  <c r="O75" i="1"/>
  <c r="P75" i="1"/>
  <c r="Q75" i="1"/>
  <c r="R75" i="1"/>
  <c r="S75" i="1"/>
  <c r="L76" i="1"/>
  <c r="M76" i="1"/>
  <c r="N76" i="1"/>
  <c r="O76" i="1"/>
  <c r="P76" i="1"/>
  <c r="Q76" i="1"/>
  <c r="R76" i="1"/>
  <c r="S76" i="1"/>
  <c r="L77" i="1"/>
  <c r="M77" i="1"/>
  <c r="N77" i="1"/>
  <c r="O77" i="1"/>
  <c r="P77" i="1"/>
  <c r="Q77" i="1"/>
  <c r="R77" i="1"/>
  <c r="S77" i="1"/>
  <c r="L78" i="1"/>
  <c r="M78" i="1"/>
  <c r="N78" i="1"/>
  <c r="O78" i="1"/>
  <c r="P78" i="1"/>
  <c r="Q78" i="1"/>
  <c r="R78" i="1"/>
  <c r="S78" i="1"/>
  <c r="L79" i="1"/>
  <c r="M79" i="1"/>
  <c r="N79" i="1"/>
  <c r="O79" i="1"/>
  <c r="P79" i="1"/>
  <c r="Q79" i="1"/>
  <c r="R79" i="1"/>
  <c r="S79" i="1"/>
  <c r="L80" i="1"/>
  <c r="M80" i="1"/>
  <c r="N80" i="1"/>
  <c r="O80" i="1"/>
  <c r="P80" i="1"/>
  <c r="Q80" i="1"/>
  <c r="R80" i="1"/>
  <c r="S80" i="1"/>
  <c r="L81" i="1"/>
  <c r="M81" i="1"/>
  <c r="N81" i="1"/>
  <c r="O81" i="1"/>
  <c r="P81" i="1"/>
  <c r="Q81" i="1"/>
  <c r="R81" i="1"/>
  <c r="S81" i="1"/>
  <c r="L82" i="1"/>
  <c r="M82" i="1"/>
  <c r="N82" i="1"/>
  <c r="O82" i="1"/>
  <c r="P82" i="1"/>
  <c r="Q82" i="1"/>
  <c r="R82" i="1"/>
  <c r="S82" i="1"/>
  <c r="L83" i="1"/>
  <c r="M83" i="1"/>
  <c r="N83" i="1"/>
  <c r="O83" i="1"/>
  <c r="P83" i="1"/>
  <c r="Q83" i="1"/>
  <c r="R83" i="1"/>
  <c r="S83" i="1"/>
  <c r="L84" i="1"/>
  <c r="M84" i="1"/>
  <c r="N84" i="1"/>
  <c r="O84" i="1"/>
  <c r="P84" i="1"/>
  <c r="Q84" i="1"/>
  <c r="R84" i="1"/>
  <c r="S84" i="1"/>
  <c r="L85" i="1"/>
  <c r="M85" i="1"/>
  <c r="N85" i="1"/>
  <c r="O85" i="1"/>
  <c r="P85" i="1"/>
  <c r="Q85" i="1"/>
  <c r="R85" i="1"/>
  <c r="S85" i="1"/>
  <c r="L86" i="1"/>
  <c r="M86" i="1"/>
  <c r="N86" i="1"/>
  <c r="O86" i="1"/>
  <c r="P86" i="1"/>
  <c r="Q86" i="1"/>
  <c r="R86" i="1"/>
  <c r="S86" i="1"/>
  <c r="L87" i="1"/>
  <c r="M87" i="1"/>
  <c r="N87" i="1"/>
  <c r="O87" i="1"/>
  <c r="P87" i="1"/>
  <c r="Q87" i="1"/>
  <c r="R87" i="1"/>
  <c r="S87" i="1"/>
  <c r="L88" i="1"/>
  <c r="M88" i="1"/>
  <c r="N88" i="1"/>
  <c r="O88" i="1"/>
  <c r="P88" i="1"/>
  <c r="Q88" i="1"/>
  <c r="R88" i="1"/>
  <c r="S88" i="1"/>
  <c r="L89" i="1"/>
  <c r="M89" i="1"/>
  <c r="N89" i="1"/>
  <c r="O89" i="1"/>
  <c r="P89" i="1"/>
  <c r="Q89" i="1"/>
  <c r="R89" i="1"/>
  <c r="S89" i="1"/>
  <c r="L90" i="1"/>
  <c r="M90" i="1"/>
  <c r="N90" i="1"/>
  <c r="O90" i="1"/>
  <c r="P90" i="1"/>
  <c r="Q90" i="1"/>
  <c r="R90" i="1"/>
  <c r="S90" i="1"/>
  <c r="L91" i="1"/>
  <c r="M91" i="1"/>
  <c r="N91" i="1"/>
  <c r="O91" i="1"/>
  <c r="P91" i="1"/>
  <c r="Q91" i="1"/>
  <c r="R91" i="1"/>
  <c r="S91" i="1"/>
  <c r="L92" i="1"/>
  <c r="M92" i="1"/>
  <c r="N92" i="1"/>
  <c r="O92" i="1"/>
  <c r="P92" i="1"/>
  <c r="Q92" i="1"/>
  <c r="R92" i="1"/>
  <c r="S92" i="1"/>
  <c r="L93" i="1"/>
  <c r="M93" i="1"/>
  <c r="N93" i="1"/>
  <c r="O93" i="1"/>
  <c r="P93" i="1"/>
  <c r="Q93" i="1"/>
  <c r="R93" i="1"/>
  <c r="S93" i="1"/>
  <c r="L94" i="1"/>
  <c r="M94" i="1"/>
  <c r="N94" i="1"/>
  <c r="O94" i="1"/>
  <c r="P94" i="1"/>
  <c r="Q94" i="1"/>
  <c r="R94" i="1"/>
  <c r="S94" i="1"/>
  <c r="L95" i="1"/>
  <c r="M95" i="1"/>
  <c r="N95" i="1"/>
  <c r="O95" i="1"/>
  <c r="P95" i="1"/>
  <c r="Q95" i="1"/>
  <c r="R95" i="1"/>
  <c r="S95" i="1"/>
  <c r="L96" i="1"/>
  <c r="M96" i="1"/>
  <c r="N96" i="1"/>
  <c r="O96" i="1"/>
  <c r="P96" i="1"/>
  <c r="Q96" i="1"/>
  <c r="R96" i="1"/>
  <c r="S96" i="1"/>
  <c r="L97" i="1"/>
  <c r="M97" i="1"/>
  <c r="N97" i="1"/>
  <c r="O97" i="1"/>
  <c r="P97" i="1"/>
  <c r="Q97" i="1"/>
  <c r="R97" i="1"/>
  <c r="S97" i="1"/>
  <c r="P2" i="2" a="1"/>
  <c r="P2" i="2" s="1"/>
  <c r="O17" i="2"/>
  <c r="O16" i="2"/>
  <c r="O15" i="2"/>
  <c r="O14" i="2"/>
  <c r="O13" i="2"/>
  <c r="O12" i="2"/>
  <c r="O11" i="2"/>
  <c r="O10" i="2"/>
  <c r="O9" i="2"/>
  <c r="O8" i="2"/>
  <c r="O7" i="2"/>
  <c r="O6" i="2"/>
  <c r="O5" i="2"/>
  <c r="O4" i="2"/>
  <c r="O3" i="2"/>
  <c r="N3" i="2"/>
  <c r="N17" i="2"/>
  <c r="N16" i="2"/>
  <c r="N15" i="2"/>
  <c r="N14" i="2"/>
  <c r="N13" i="2"/>
  <c r="N12" i="2"/>
  <c r="N11" i="2"/>
  <c r="N10" i="2"/>
  <c r="N9" i="2"/>
  <c r="N8" i="2"/>
  <c r="N7" i="2"/>
  <c r="N6" i="2"/>
  <c r="N5" i="2"/>
  <c r="N4" i="2"/>
  <c r="N2" i="2"/>
  <c r="O2" i="2"/>
  <c r="L2" i="1"/>
  <c r="M2" i="1"/>
  <c r="N2" i="1"/>
  <c r="O2" i="1"/>
  <c r="P2" i="1"/>
  <c r="Q2" i="1"/>
  <c r="R2" i="1"/>
  <c r="S2" i="1"/>
  <c r="L2" i="2" l="1"/>
  <c r="K85" i="1"/>
  <c r="K53" i="1"/>
  <c r="K45" i="1"/>
  <c r="K37" i="1"/>
  <c r="K29" i="1"/>
  <c r="K21" i="1"/>
  <c r="K14" i="1"/>
  <c r="K13" i="1"/>
  <c r="K9" i="1"/>
  <c r="K8" i="1"/>
  <c r="K7" i="1"/>
  <c r="K6" i="1"/>
  <c r="K5" i="1"/>
  <c r="K77" i="1"/>
  <c r="K69" i="1"/>
  <c r="K61" i="1"/>
  <c r="K15" i="1"/>
  <c r="K96" i="1"/>
  <c r="K94" i="1"/>
  <c r="K92" i="1"/>
  <c r="K90" i="1"/>
  <c r="K88" i="1"/>
  <c r="K82" i="1"/>
  <c r="K80" i="1"/>
  <c r="K75" i="1"/>
  <c r="K73" i="1"/>
  <c r="K71" i="1"/>
  <c r="K68" i="1"/>
  <c r="K65" i="1"/>
  <c r="K63" i="1"/>
  <c r="K60" i="1"/>
  <c r="K58" i="1"/>
  <c r="K56" i="1"/>
  <c r="K44" i="1"/>
  <c r="K42" i="1"/>
  <c r="K40" i="1"/>
  <c r="K35" i="1"/>
  <c r="K33" i="1"/>
  <c r="K31" i="1"/>
  <c r="K28" i="1"/>
  <c r="K27" i="1"/>
  <c r="K24" i="1"/>
  <c r="K19" i="1"/>
  <c r="K3" i="1"/>
  <c r="K2" i="1"/>
  <c r="K93" i="1"/>
  <c r="K97" i="1"/>
  <c r="K95" i="1"/>
  <c r="K91" i="1"/>
  <c r="K89" i="1"/>
  <c r="K87" i="1"/>
  <c r="K86" i="1"/>
  <c r="K84" i="1"/>
  <c r="K83" i="1"/>
  <c r="K81" i="1"/>
  <c r="K79" i="1"/>
  <c r="K78" i="1"/>
  <c r="K76" i="1"/>
  <c r="K74" i="1"/>
  <c r="K72" i="1"/>
  <c r="K70" i="1"/>
  <c r="K67" i="1"/>
  <c r="K66" i="1"/>
  <c r="K64" i="1"/>
  <c r="K62" i="1"/>
  <c r="K59" i="1"/>
  <c r="K57" i="1"/>
  <c r="K55" i="1"/>
  <c r="K54" i="1"/>
  <c r="K52" i="1"/>
  <c r="K51" i="1"/>
  <c r="K50" i="1"/>
  <c r="K49" i="1"/>
  <c r="K48" i="1"/>
  <c r="K47" i="1"/>
  <c r="K46" i="1"/>
  <c r="K43" i="1"/>
  <c r="K41" i="1"/>
  <c r="K39" i="1"/>
  <c r="K38" i="1"/>
  <c r="K36" i="1"/>
  <c r="K34" i="1"/>
  <c r="K32" i="1"/>
  <c r="K30" i="1"/>
  <c r="K26" i="1"/>
  <c r="K25" i="1"/>
  <c r="K23" i="1"/>
  <c r="K22" i="1"/>
  <c r="K20" i="1"/>
  <c r="K18" i="1"/>
  <c r="K17" i="1"/>
  <c r="K16" i="1"/>
  <c r="K12" i="1"/>
  <c r="K11" i="1"/>
  <c r="K10" i="1"/>
  <c r="K4" i="1"/>
  <c r="T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5" i="1"/>
  <c r="T76" i="1"/>
  <c r="T77" i="1"/>
  <c r="T78" i="1"/>
  <c r="T79" i="1"/>
  <c r="T80" i="1"/>
  <c r="T81" i="1"/>
  <c r="T82" i="1"/>
  <c r="T83" i="1"/>
  <c r="T84" i="1"/>
  <c r="T85" i="1"/>
  <c r="T86" i="1"/>
  <c r="T87" i="1"/>
  <c r="T88" i="1"/>
  <c r="T89" i="1"/>
  <c r="T90" i="1"/>
  <c r="T91" i="1"/>
  <c r="T92" i="1"/>
  <c r="T93" i="1"/>
  <c r="T94" i="1"/>
  <c r="T95" i="1"/>
  <c r="T96" i="1"/>
  <c r="T97" i="1"/>
  <c r="K11" i="2"/>
  <c r="P6" i="2" a="1"/>
  <c r="P6" i="2" s="1"/>
  <c r="B17" i="2"/>
  <c r="B16" i="2"/>
  <c r="B15" i="2"/>
  <c r="B14" i="2"/>
  <c r="B13" i="2"/>
  <c r="B12" i="2"/>
  <c r="B11" i="2"/>
  <c r="B10" i="2"/>
  <c r="B9" i="2"/>
  <c r="B8" i="2"/>
  <c r="B7" i="2"/>
  <c r="B6" i="2"/>
  <c r="B5" i="2"/>
  <c r="B4" i="2"/>
  <c r="B3" i="2"/>
  <c r="B2" i="2"/>
  <c r="F6" i="2"/>
  <c r="P17" i="2" a="1"/>
  <c r="P17" i="2" s="1"/>
  <c r="P16" i="2" a="1"/>
  <c r="P16" i="2" s="1"/>
  <c r="P15" i="2" a="1"/>
  <c r="P15" i="2" s="1"/>
  <c r="P14" i="2" a="1"/>
  <c r="P14" i="2" s="1"/>
  <c r="P13" i="2" a="1"/>
  <c r="P13" i="2" s="1"/>
  <c r="P12" i="2" a="1"/>
  <c r="P12" i="2" s="1"/>
  <c r="P11" i="2" a="1"/>
  <c r="P11" i="2" s="1"/>
  <c r="P10" i="2" a="1"/>
  <c r="P10" i="2" s="1"/>
  <c r="P9" i="2" a="1"/>
  <c r="P9" i="2" s="1"/>
  <c r="P8" i="2" a="1"/>
  <c r="P8" i="2" s="1"/>
  <c r="P7" i="2" a="1"/>
  <c r="P7" i="2" s="1"/>
  <c r="P5" i="2" a="1"/>
  <c r="P5" i="2" s="1"/>
  <c r="P4" i="2" a="1"/>
  <c r="P4" i="2" s="1"/>
  <c r="P3" i="2" a="1"/>
  <c r="P3" i="2" s="1"/>
  <c r="K17" i="2"/>
  <c r="K16" i="2"/>
  <c r="K15" i="2"/>
  <c r="K14" i="2"/>
  <c r="K13" i="2"/>
  <c r="K12" i="2"/>
  <c r="K10" i="2"/>
  <c r="K9" i="2"/>
  <c r="K8" i="2"/>
  <c r="K7" i="2"/>
  <c r="K6" i="2"/>
  <c r="K5" i="2"/>
  <c r="K4" i="2"/>
  <c r="K3" i="2"/>
  <c r="J17" i="2"/>
  <c r="J16" i="2"/>
  <c r="J15" i="2"/>
  <c r="J14" i="2"/>
  <c r="J13" i="2"/>
  <c r="J12" i="2"/>
  <c r="J11" i="2"/>
  <c r="J10" i="2"/>
  <c r="J9" i="2"/>
  <c r="J8" i="2"/>
  <c r="J7" i="2"/>
  <c r="J6" i="2"/>
  <c r="J5" i="2"/>
  <c r="J4" i="2"/>
  <c r="J3" i="2"/>
  <c r="I16" i="2"/>
  <c r="I15" i="2"/>
  <c r="I14" i="2"/>
  <c r="I13" i="2"/>
  <c r="I12" i="2"/>
  <c r="I11" i="2"/>
  <c r="I10" i="2"/>
  <c r="I9" i="2"/>
  <c r="I17" i="2"/>
  <c r="I8" i="2"/>
  <c r="I7" i="2"/>
  <c r="I6" i="2"/>
  <c r="I5" i="2"/>
  <c r="I4" i="2"/>
  <c r="I3" i="2"/>
  <c r="H3" i="2"/>
  <c r="H17" i="2"/>
  <c r="H16" i="2"/>
  <c r="H15" i="2"/>
  <c r="H14" i="2"/>
  <c r="H13" i="2"/>
  <c r="H12" i="2"/>
  <c r="H11" i="2"/>
  <c r="H10" i="2"/>
  <c r="H9" i="2"/>
  <c r="H8" i="2"/>
  <c r="H7" i="2"/>
  <c r="H6" i="2"/>
  <c r="H5" i="2"/>
  <c r="H4" i="2"/>
  <c r="G3" i="2"/>
  <c r="G17" i="2"/>
  <c r="G16" i="2"/>
  <c r="G15" i="2"/>
  <c r="G14" i="2"/>
  <c r="G13" i="2"/>
  <c r="G12" i="2"/>
  <c r="G11" i="2"/>
  <c r="G10" i="2"/>
  <c r="G9" i="2"/>
  <c r="G8" i="2"/>
  <c r="G7" i="2"/>
  <c r="G6" i="2"/>
  <c r="G5" i="2"/>
  <c r="G4" i="2"/>
  <c r="F17" i="2"/>
  <c r="F16" i="2"/>
  <c r="F15" i="2"/>
  <c r="F14" i="2"/>
  <c r="F13" i="2"/>
  <c r="F12" i="2"/>
  <c r="F11" i="2"/>
  <c r="F10" i="2"/>
  <c r="F9" i="2"/>
  <c r="F8" i="2"/>
  <c r="F7" i="2"/>
  <c r="F5" i="2"/>
  <c r="F4" i="2"/>
  <c r="F3" i="2"/>
  <c r="E17" i="2"/>
  <c r="E16" i="2"/>
  <c r="E15" i="2"/>
  <c r="E14" i="2"/>
  <c r="E13" i="2"/>
  <c r="E12" i="2"/>
  <c r="E11" i="2"/>
  <c r="E10" i="2"/>
  <c r="E9" i="2"/>
  <c r="E8" i="2"/>
  <c r="E7" i="2"/>
  <c r="E6" i="2"/>
  <c r="E5" i="2"/>
  <c r="E4" i="2"/>
  <c r="E3" i="2"/>
  <c r="D17" i="2"/>
  <c r="D16" i="2"/>
  <c r="D15" i="2"/>
  <c r="D14" i="2"/>
  <c r="D13" i="2"/>
  <c r="D12" i="2"/>
  <c r="D11" i="2"/>
  <c r="D10" i="2"/>
  <c r="D9" i="2"/>
  <c r="D8" i="2"/>
  <c r="D7" i="2"/>
  <c r="D6" i="2"/>
  <c r="D5" i="2"/>
  <c r="D4" i="2"/>
  <c r="D3" i="2"/>
  <c r="L17" i="2" l="1"/>
  <c r="L9" i="2"/>
  <c r="L11" i="2"/>
  <c r="L10" i="2"/>
  <c r="L3" i="2"/>
  <c r="L12" i="2"/>
  <c r="L4" i="2"/>
  <c r="L13" i="2"/>
  <c r="L5" i="2"/>
  <c r="L14" i="2"/>
  <c r="L8" i="2"/>
  <c r="L6" i="2"/>
  <c r="L15" i="2"/>
  <c r="L7" i="2"/>
  <c r="L16" i="2"/>
  <c r="C8" i="2"/>
  <c r="C17" i="2"/>
  <c r="C4" i="2"/>
  <c r="C9" i="2"/>
  <c r="C7" i="2"/>
  <c r="C3" i="2"/>
  <c r="C12" i="2"/>
  <c r="C15" i="2"/>
  <c r="C13" i="2"/>
  <c r="C14" i="2"/>
  <c r="C5" i="2"/>
  <c r="C16" i="2"/>
  <c r="C10" i="2"/>
  <c r="C11"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Bianca Vargas</author>
  </authors>
  <commentList>
    <comment ref="B81" authorId="0" shapeId="0" xr:uid="{AA404D36-0290-42C0-BD7B-BD4072DFA396}">
      <text>
        <r>
          <rPr>
            <sz val="11"/>
            <color theme="1"/>
            <rFont val="Calibri"/>
            <family val="2"/>
            <scheme val="minor"/>
          </rPr>
          <t xml:space="preserve">Bianca Vargas: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<sst xmlns="http://schemas.openxmlformats.org/spreadsheetml/2006/main" count="854" uniqueCount="257">
  <si>
    <t>Location/Program</t>
  </si>
  <si>
    <t>Start Date</t>
  </si>
  <si>
    <t>End Date</t>
  </si>
  <si>
    <t>Initiative</t>
  </si>
  <si>
    <t>Focus</t>
  </si>
  <si>
    <t>Outreach Provider</t>
  </si>
  <si>
    <t>IH Provider</t>
  </si>
  <si>
    <t>Service Provider Cost (per person per day) *Includes services</t>
  </si>
  <si>
    <t xml:space="preserve">Services Provided </t>
  </si>
  <si>
    <t>Projected # PEH Before Inside Safe Operation</t>
  </si>
  <si>
    <t>Total # People Moved Inside</t>
  </si>
  <si>
    <t>In Interim Housing as of Reporting Date</t>
  </si>
  <si>
    <t>Incarcerated  as of Reporting Date</t>
  </si>
  <si>
    <t>Deceased  as of Reporting Date</t>
  </si>
  <si>
    <t>In Medical or Psychiatric Facility  as of Reporting Date</t>
  </si>
  <si>
    <t>In Substance Use Facility  as of Reporting Date</t>
  </si>
  <si>
    <t>Returned to Homelessness  as of Reporting Date</t>
  </si>
  <si>
    <t>Returned to Homelessness - Working with Provider  as of Reporting Date</t>
  </si>
  <si>
    <t>In Permanent Housing  as of Reporting Date</t>
  </si>
  <si>
    <t>Permanently Housed %</t>
  </si>
  <si>
    <t>Inside Safe Operation Site CD</t>
  </si>
  <si>
    <t>Motel CD(s)</t>
  </si>
  <si>
    <t>101 / Cahuenga</t>
  </si>
  <si>
    <t>City - Inside Safe</t>
  </si>
  <si>
    <t>Encampment</t>
  </si>
  <si>
    <t>The People Concern</t>
  </si>
  <si>
    <t>The People Concern, HOPICS</t>
  </si>
  <si>
    <t>See "Services Provided" Tab</t>
  </si>
  <si>
    <t>4, 8, 13, 13</t>
  </si>
  <si>
    <t>Venice / Sunset / ABH</t>
  </si>
  <si>
    <t>St Joseph Center</t>
  </si>
  <si>
    <t>HOPICS, St Joseph Center, Los Angeles Family Housing Corporation</t>
  </si>
  <si>
    <t>8, 9, 11, 11, 8, 8</t>
  </si>
  <si>
    <t>Venice (Speedway &amp; Ozone)</t>
  </si>
  <si>
    <t>Figueroa Corridor Repop F</t>
  </si>
  <si>
    <t>Repop</t>
  </si>
  <si>
    <t>FIT</t>
  </si>
  <si>
    <t>HOPICS, St Joseph Center</t>
  </si>
  <si>
    <t>No projections made</t>
  </si>
  <si>
    <t>9, 13, 9</t>
  </si>
  <si>
    <t>87th &amp; Western</t>
  </si>
  <si>
    <t>HOPICS</t>
  </si>
  <si>
    <t>9, 8, 8</t>
  </si>
  <si>
    <t>Culver Median</t>
  </si>
  <si>
    <t>Not in the City of LA</t>
  </si>
  <si>
    <t>99th &amp; Flower</t>
  </si>
  <si>
    <t>8, 9, 8</t>
  </si>
  <si>
    <t>Victory &amp; Vineland</t>
  </si>
  <si>
    <t>Los Angeles Family Housing Corporation</t>
  </si>
  <si>
    <t>6th &amp; Fairfax</t>
  </si>
  <si>
    <t>The People Concern, Weingart</t>
  </si>
  <si>
    <t>13, 13, 14</t>
  </si>
  <si>
    <t>81st &amp; Figueroa</t>
  </si>
  <si>
    <t>8, 8</t>
  </si>
  <si>
    <t>105/Figueroa/Hoover</t>
  </si>
  <si>
    <t>8, 8, 8, 8</t>
  </si>
  <si>
    <t>CIRCLE Outreach</t>
  </si>
  <si>
    <t>Scattered Site</t>
  </si>
  <si>
    <t>CIRCLE</t>
  </si>
  <si>
    <t>Weingart</t>
  </si>
  <si>
    <t>Street Medicine</t>
  </si>
  <si>
    <t>USC</t>
  </si>
  <si>
    <t>99th &amp; Flower Repop A</t>
  </si>
  <si>
    <t>First to Serve</t>
  </si>
  <si>
    <t>CD 3 Riverbed</t>
  </si>
  <si>
    <t>Hope of the Valley Rescue Mission</t>
  </si>
  <si>
    <t>Victory &amp; Vineland Repop B</t>
  </si>
  <si>
    <t>Skid Row</t>
  </si>
  <si>
    <t>LAHSA/Department of Mental Health</t>
  </si>
  <si>
    <t>Echo Park</t>
  </si>
  <si>
    <t>PATH</t>
  </si>
  <si>
    <t>LA Grand - Legacy</t>
  </si>
  <si>
    <t>Mulitple</t>
  </si>
  <si>
    <t>LA Grand - Ad Hoc</t>
  </si>
  <si>
    <t>Spring &amp; Arcadia 1 ("El Pueblo")</t>
  </si>
  <si>
    <t>LA Grand - ERF</t>
  </si>
  <si>
    <t>Vernon &amp; Grand ("Grand Corridor")</t>
  </si>
  <si>
    <t>San Vicente &amp; La Cienega</t>
  </si>
  <si>
    <t xml:space="preserve">Popup Winter Shelters </t>
  </si>
  <si>
    <t>Multiple</t>
  </si>
  <si>
    <t>Augmented Winter Shelter Program (City to City)</t>
  </si>
  <si>
    <t>LAHSA HET Teams</t>
  </si>
  <si>
    <t>First to Serve, HOPICS</t>
  </si>
  <si>
    <t>3, 6, 12, 8, 8, Not in City of LA, Not in City of LA, 9</t>
  </si>
  <si>
    <t>Grand &amp; 52nd</t>
  </si>
  <si>
    <t>Augmented Winter Shelter Program (County to City)</t>
  </si>
  <si>
    <t>3, 6, 12, 8, 8, Not in City of LA, Not in THE City of LA, 9</t>
  </si>
  <si>
    <t>Lomita &amp; McCoy</t>
  </si>
  <si>
    <t>Harbor Interfaith Services, Inc.</t>
  </si>
  <si>
    <t>15, 15, 15, Not in the City of LA</t>
  </si>
  <si>
    <t>Augmented Winter Shelter Program (To Grand)</t>
  </si>
  <si>
    <t>2, 3, 4, 7</t>
  </si>
  <si>
    <t>Hollywood &amp; El Centro</t>
  </si>
  <si>
    <t>4, 13, 13</t>
  </si>
  <si>
    <t>Chatsworth Metrolink Station</t>
  </si>
  <si>
    <t>Rancho &amp; Jim Gilliam</t>
  </si>
  <si>
    <t>10, 9</t>
  </si>
  <si>
    <t>Ritchie Valens / Paxton Park / 118</t>
  </si>
  <si>
    <t>Grand / Broadway / 45th</t>
  </si>
  <si>
    <t>SJC/HOPICS</t>
  </si>
  <si>
    <t>9, 8</t>
  </si>
  <si>
    <t>Selma &amp; Schrader</t>
  </si>
  <si>
    <t>Aetna Street (Van Nuys Blvd &amp; Tyrone Ave)</t>
  </si>
  <si>
    <t>Wyandotte (Desoto &amp; Vanowen)</t>
  </si>
  <si>
    <t>35 to 50</t>
  </si>
  <si>
    <t>Balboa &amp; Devonshire</t>
  </si>
  <si>
    <t>10 to 15</t>
  </si>
  <si>
    <t>Virgil Middle School &amp; Shatto Park</t>
  </si>
  <si>
    <t>75 to 100</t>
  </si>
  <si>
    <t>1, 10, 13</t>
  </si>
  <si>
    <t>8, 9</t>
  </si>
  <si>
    <t>Venice &amp; Globe</t>
  </si>
  <si>
    <t>St Joseph Center, First to Serve</t>
  </si>
  <si>
    <t>5, 11</t>
  </si>
  <si>
    <t>14, Not in the City of LA, 6, 3</t>
  </si>
  <si>
    <t>Little Mayfair</t>
  </si>
  <si>
    <t>Mayor's Office</t>
  </si>
  <si>
    <t>Canoga Ave &amp; Vanowen St</t>
  </si>
  <si>
    <t>City of Los Angeles</t>
  </si>
  <si>
    <t>81st &amp; Hoover</t>
  </si>
  <si>
    <t>Forest Lawn Dr</t>
  </si>
  <si>
    <t>81st &amp; Figueroa Repop A</t>
  </si>
  <si>
    <t>FIT/HOPICS/SJC</t>
  </si>
  <si>
    <t>Hollywood &amp; El Centro Repop A</t>
  </si>
  <si>
    <t>101 / Cahuenga Repop A</t>
  </si>
  <si>
    <t>13, 4, 8, 13</t>
  </si>
  <si>
    <t>Spring &amp; Arcadia 2 ("El Pueblo")</t>
  </si>
  <si>
    <t>Weingart Center</t>
  </si>
  <si>
    <t>Ritchie Valens / Paxton Park / 118 Repop A</t>
  </si>
  <si>
    <t>Vernon &amp; Grand ("Grand Corridor") Repop A</t>
  </si>
  <si>
    <t>HOPICS/FIT</t>
  </si>
  <si>
    <t>Poinsettia Park</t>
  </si>
  <si>
    <t>Los Angeles Family Housing Corporation, The People Concern</t>
  </si>
  <si>
    <t>12, 4, 7, 13</t>
  </si>
  <si>
    <t>101 / Cahuenga Repop B</t>
  </si>
  <si>
    <t>87th &amp; Western Repop A</t>
  </si>
  <si>
    <t>Crenshaw &amp; Victoria</t>
  </si>
  <si>
    <t>Rancho &amp; Jim Gilliam Repop A</t>
  </si>
  <si>
    <t>First to Serve, HOPICS, St Joseph Center</t>
  </si>
  <si>
    <t>3, 9, 8</t>
  </si>
  <si>
    <t>Figueroa Corridor Repop D</t>
  </si>
  <si>
    <t>3, 8, 9</t>
  </si>
  <si>
    <t>Hilda Solis Care Village</t>
  </si>
  <si>
    <t>1, 14</t>
  </si>
  <si>
    <t>Poinsettia / Romaine St Repop A</t>
  </si>
  <si>
    <t>5, 13</t>
  </si>
  <si>
    <t>Wyandotte Repop A</t>
  </si>
  <si>
    <t>Balboa &amp; Devonshire Repop A</t>
  </si>
  <si>
    <t>HTM/FIT/LAFH</t>
  </si>
  <si>
    <t>Rancho &amp; Jim Gilliam Repop B</t>
  </si>
  <si>
    <t>3, 9</t>
  </si>
  <si>
    <t>Crenshaw &amp; Victoria Repop A</t>
  </si>
  <si>
    <t>St Joseph Center, HOPICS</t>
  </si>
  <si>
    <t>13, 8</t>
  </si>
  <si>
    <t>Crenshaw &amp; Victoria Repop B</t>
  </si>
  <si>
    <t>Crenshaw &amp; Victoria Repop C</t>
  </si>
  <si>
    <t>Figueroa Corridor Repop E</t>
  </si>
  <si>
    <t>PATH, HOPICS, The People Concern</t>
  </si>
  <si>
    <t>13, 8, 13</t>
  </si>
  <si>
    <t>Rancho &amp; Jim Gilliam Repop C</t>
  </si>
  <si>
    <t>9214 Wakefield</t>
  </si>
  <si>
    <t>6063 Sunset Blvd</t>
  </si>
  <si>
    <t>Figueroa Corridor Repop G</t>
  </si>
  <si>
    <t>Alameda Triangle</t>
  </si>
  <si>
    <t>First to Serve, PATH</t>
  </si>
  <si>
    <t>12, 1</t>
  </si>
  <si>
    <t>101 / Cahuenga Repop C</t>
  </si>
  <si>
    <t>13, 4, 8, 14</t>
  </si>
  <si>
    <t>Canoga Ave &amp; Vanowen St Repop A</t>
  </si>
  <si>
    <t>4418 E. Avalon Blvd</t>
  </si>
  <si>
    <t>First To Serve</t>
  </si>
  <si>
    <t>Victory &amp; Vineland Repop A</t>
  </si>
  <si>
    <t>6, 12</t>
  </si>
  <si>
    <t>Willow Tree - 8333 N Glen Oaks</t>
  </si>
  <si>
    <t>5 to 7</t>
  </si>
  <si>
    <t>Lomita &amp; McCoy Repop A</t>
  </si>
  <si>
    <t>HIIF/FIT</t>
  </si>
  <si>
    <t>Harbor Interfaith Services, Inc., The People Concern</t>
  </si>
  <si>
    <t>15, 15</t>
  </si>
  <si>
    <t>RFK Park / 8th / Catalina</t>
  </si>
  <si>
    <t>12, 4</t>
  </si>
  <si>
    <t>Rancho &amp; Jim Gilliam Repop D</t>
  </si>
  <si>
    <t>101 / Cahuenga Repop D</t>
  </si>
  <si>
    <t>Fountain / Alexandria &amp; 766 Mason</t>
  </si>
  <si>
    <t>87th &amp; Western Repop B</t>
  </si>
  <si>
    <t>9580 Foothill Blvd</t>
  </si>
  <si>
    <t>Rancho &amp; Jim Gilliam Repop E</t>
  </si>
  <si>
    <t>Canoga Ave &amp; Vanowen St Repop B</t>
  </si>
  <si>
    <t>Poinsettia / Romaine St Repop B</t>
  </si>
  <si>
    <t>Willow Tree - 8333 N Glen Oaks Repop A</t>
  </si>
  <si>
    <t>101 / Cahuenga Repop E</t>
  </si>
  <si>
    <t>99th &amp; Flower Repop B</t>
  </si>
  <si>
    <t>Wyandotte Repop B</t>
  </si>
  <si>
    <t>Gilbert Lindsay Recreation Center</t>
  </si>
  <si>
    <t>HOPICS, First to Serve, St Joseph Center</t>
  </si>
  <si>
    <t>9, 9, Not in the City of LA, 8</t>
  </si>
  <si>
    <t>Little Mayfair Repop A</t>
  </si>
  <si>
    <t>1848 E PCH / Wilmington</t>
  </si>
  <si>
    <t>Lomita &amp; McCoy Repop B</t>
  </si>
  <si>
    <t>9580 Foothill Blvd Repop A</t>
  </si>
  <si>
    <t>Vermont &amp; 92nd</t>
  </si>
  <si>
    <t xml:space="preserve">HOPICS, St Joseph Center, First to Serve, </t>
  </si>
  <si>
    <t>9, 8, 6, Not in the City of LA</t>
  </si>
  <si>
    <t>Services (Part of the $110 daily bed rate per person)</t>
  </si>
  <si>
    <t>Case management</t>
  </si>
  <si>
    <t>Residential supervision</t>
  </si>
  <si>
    <t>Crisis intervention</t>
  </si>
  <si>
    <t>Conflict de-escalation</t>
  </si>
  <si>
    <t>Meals (3 per day)</t>
  </si>
  <si>
    <t>Hygiene facilities</t>
  </si>
  <si>
    <t>Emergency Naloxone administration</t>
  </si>
  <si>
    <t>Harm reduction services (ex: sharps, containers, overdose prevention resources, amnesty lockers)</t>
  </si>
  <si>
    <t>Mainstream services (ex: services available through Department of Public Social Services, Department of Health Services, Department of Mental Health, Department of Public Health, Military and Veterans Affairs, Department of Aging and Disabilities, and Office of Immigrant Affairs)</t>
  </si>
  <si>
    <t>Storage of personal property</t>
  </si>
  <si>
    <t>Laundry</t>
  </si>
  <si>
    <t>Transportation (to and from encampments to motel site/shelter)</t>
  </si>
  <si>
    <t>Problem solving</t>
  </si>
  <si>
    <t>Housing navigation</t>
  </si>
  <si>
    <t>Totals</t>
  </si>
  <si>
    <t>Projected #  PEH Before Inside Safe Operation</t>
  </si>
  <si>
    <t>Total # IH Placements</t>
  </si>
  <si>
    <t>Incarcerated</t>
  </si>
  <si>
    <t>Deceased</t>
  </si>
  <si>
    <t>Medical, Psychiatric Facility</t>
  </si>
  <si>
    <t>Substance Use Facility</t>
  </si>
  <si>
    <t>Returned to Homelessness</t>
  </si>
  <si>
    <t>Returned to Homelessness (Working with Providers)</t>
  </si>
  <si>
    <t>Total # Permanently Housed</t>
  </si>
  <si>
    <t xml:space="preserve"> Permanently Housed %</t>
  </si>
  <si>
    <r>
      <t xml:space="preserve">Inside Safe Operations </t>
    </r>
    <r>
      <rPr>
        <b/>
        <i/>
        <sz val="11"/>
        <color theme="1"/>
        <rFont val="Calibri"/>
        <family val="2"/>
        <scheme val="minor"/>
      </rPr>
      <t>(Includes Repops &amp; Some Scattered Sites)</t>
    </r>
  </si>
  <si>
    <t>Total Encampments</t>
  </si>
  <si>
    <t>Total Repopulation Efforts</t>
  </si>
  <si>
    <t>Motel Sites Per CD</t>
  </si>
  <si>
    <t>Overall</t>
  </si>
  <si>
    <t>CD 1</t>
  </si>
  <si>
    <t>CD 2</t>
  </si>
  <si>
    <t>CD 3</t>
  </si>
  <si>
    <t>CD 4</t>
  </si>
  <si>
    <t>CD 5</t>
  </si>
  <si>
    <t>CD 6</t>
  </si>
  <si>
    <t>CD 7</t>
  </si>
  <si>
    <t>CD 8</t>
  </si>
  <si>
    <t>CD 9</t>
  </si>
  <si>
    <t>CD 10</t>
  </si>
  <si>
    <t>CD 11</t>
  </si>
  <si>
    <t>CD 12</t>
  </si>
  <si>
    <t>CD 13</t>
  </si>
  <si>
    <t>CD 14</t>
  </si>
  <si>
    <t>CD 15</t>
  </si>
  <si>
    <t>Current Status</t>
  </si>
  <si>
    <t>Encampment Site</t>
  </si>
  <si>
    <t>Interim Housing</t>
  </si>
  <si>
    <t>Medical or Psychiatric Facility</t>
  </si>
  <si>
    <t>Substance Abuse Facility</t>
  </si>
  <si>
    <t>Returned to Homelessness - Working with Providers</t>
  </si>
  <si>
    <t>Permanent Housing</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</si>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</sst>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name val="Calibri"/>
      <family val="2"/>
      <scheme val="minor"/>
    </font>
    <font>
      <sz val="11"/>
      <color rgb="FF000000"/>
      <name val="Calibri"/>
      <charset val="1"/>
    </font>
    <font>
      <b/>
      <sz val="14"/>
      <color rgb="FF000000"/>
      <name val="Calibri"/>
      <charset val="1"/>
    </font>
    <font>
      <sz val="11"/>
      <color rgb="FF242424"/>
      <name val="Aptos Narrow"/>
      <charset val="1"/>
    </font>
    <font>
      <sz val="11"/>
      <color rgb="FF000000"/>
      <name val="Calibri"/>
    </font>
    <font>
      <sz val="10"/>
      <color rgb="FF000000"/>
      <name val="Arial"/>
    </font>
    <font>
      <sz val="11"/>
      <color rgb="FF000000"/>
      <name val="Aptos Narrow"/>
    </font>
    <font>
      <sz val="9"/>
      <color rgb="FF000000"/>
      <name val="Calibri"/>
    </font>
    <font>
      <sz val="11"/>
      <color theme="1"/>
      <name val="Calibri"/>
      <family val="2"/>
      <scheme val="minor"/>
    </font>
    <font>
      <sz val="11"/>
      <color rgb="FF000000"/>
      <name val="Calibri"/>
      <family val="2"/>
      <charset val="1"/>
    </font>
    <font>
      <sz val="11"/>
      <color rgb="FF000000"/>
      <name val="Calibri"/>
      <family val="2"/>
      <scheme val="minor"/>
    </font>
    <font>
      <sz val="9"/>
      <color rgb="FF000000"/>
      <name val="Calibri"/>
      <family val="2"/>
    </font>
    <font>
      <b/>
      <sz val="11"/>
      <color rgb="FF000000"/>
      <name val="Aptos Narrow"/>
      <family val="2"/>
    </font>
    <font>
      <b/>
      <sz val="9"/>
      <color rgb="FF000000"/>
      <name val="Calibri"/>
      <family val="2"/>
    </font>
    <font>
      <b/>
      <i/>
      <sz val="11"/>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8EA9DB"/>
      </top>
      <bottom style="thin">
        <color rgb="FF8EA9DB"/>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s>
  <cellStyleXfs count="2">
    <xf numFmtId="0" fontId="0" fillId="0" borderId="0"/>
    <xf numFmtId="44" fontId="15" fillId="0" borderId="0" applyFont="0" applyFill="0" applyBorder="0" applyAlignment="0" applyProtection="0"/>
  </cellStyleXfs>
  <cellXfs count="89">
    <xf numFmtId="0" fontId="0" fillId="0" borderId="0" xfId="0"/>
    <xf numFmtId="0" fontId="0" fillId="0" borderId="0" xfId="0" applyAlignment="1">
      <alignment wrapText="1"/>
    </xf>
    <xf numFmtId="0" fontId="2" fillId="0" borderId="0" xfId="0" applyFont="1"/>
    <xf numFmtId="10" fontId="0" fillId="0" borderId="0" xfId="0" applyNumberFormat="1"/>
    <xf numFmtId="0" fontId="5" fillId="0" borderId="0" xfId="0" applyFont="1"/>
    <xf numFmtId="0" fontId="4" fillId="3" borderId="1" xfId="0" applyFont="1" applyFill="1" applyBorder="1" applyAlignment="1">
      <alignment horizontal="center" vertical="center" wrapText="1"/>
    </xf>
    <xf numFmtId="0" fontId="0" fillId="0" borderId="1" xfId="0" applyBorder="1"/>
    <xf numFmtId="0" fontId="7" fillId="3"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4" fillId="3" borderId="1" xfId="0" applyFont="1" applyFill="1" applyBorder="1" applyAlignment="1">
      <alignment horizontal="center" wrapText="1"/>
    </xf>
    <xf numFmtId="0" fontId="6" fillId="2" borderId="1" xfId="0" applyFont="1" applyFill="1" applyBorder="1" applyAlignment="1">
      <alignment wrapText="1"/>
    </xf>
    <xf numFmtId="0" fontId="6" fillId="2" borderId="1" xfId="0" applyFont="1" applyFill="1" applyBorder="1"/>
    <xf numFmtId="10" fontId="6" fillId="2" borderId="1" xfId="0" applyNumberFormat="1" applyFont="1" applyFill="1" applyBorder="1"/>
    <xf numFmtId="0" fontId="1" fillId="4" borderId="1" xfId="0" applyFont="1" applyFill="1" applyBorder="1" applyAlignment="1">
      <alignment wrapText="1"/>
    </xf>
    <xf numFmtId="10" fontId="0" fillId="0" borderId="1" xfId="0" applyNumberFormat="1" applyBorder="1"/>
    <xf numFmtId="0" fontId="0" fillId="5" borderId="0" xfId="0" applyFill="1"/>
    <xf numFmtId="0" fontId="0" fillId="0" borderId="6" xfId="0" applyBorder="1"/>
    <xf numFmtId="0" fontId="0" fillId="0" borderId="2" xfId="0" applyBorder="1"/>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2" borderId="4" xfId="0" applyFont="1" applyFill="1" applyBorder="1"/>
    <xf numFmtId="0" fontId="6" fillId="2" borderId="5" xfId="0" applyFont="1" applyFill="1" applyBorder="1"/>
    <xf numFmtId="0" fontId="4" fillId="3" borderId="0" xfId="0" applyFont="1" applyFill="1" applyAlignment="1">
      <alignment horizontal="center" vertical="center" wrapText="1"/>
    </xf>
    <xf numFmtId="0" fontId="0" fillId="0" borderId="7" xfId="0" applyBorder="1"/>
    <xf numFmtId="0" fontId="6" fillId="2" borderId="0" xfId="0" applyFont="1" applyFill="1"/>
    <xf numFmtId="10" fontId="4" fillId="3"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0" fillId="6" borderId="1" xfId="0" applyFill="1" applyBorder="1" applyAlignment="1">
      <alignment horizontal="left" wrapText="1"/>
    </xf>
    <xf numFmtId="0" fontId="0" fillId="0" borderId="0" xfId="0" applyAlignment="1">
      <alignment horizontal="right" wrapText="1"/>
    </xf>
    <xf numFmtId="0" fontId="0" fillId="0" borderId="0" xfId="0" quotePrefix="1"/>
    <xf numFmtId="0" fontId="13" fillId="0" borderId="6" xfId="0" applyFont="1" applyBorder="1"/>
    <xf numFmtId="0" fontId="14" fillId="0" borderId="6" xfId="0" applyFont="1" applyBorder="1"/>
    <xf numFmtId="0" fontId="0" fillId="0" borderId="1" xfId="0" applyBorder="1" applyAlignment="1">
      <alignment horizontal="lef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xf>
    <xf numFmtId="0" fontId="10" fillId="0" borderId="1" xfId="0" applyFont="1" applyBorder="1" applyAlignment="1">
      <alignment wrapText="1"/>
    </xf>
    <xf numFmtId="0" fontId="2" fillId="0" borderId="1" xfId="0" applyFont="1" applyBorder="1" applyAlignment="1">
      <alignment wrapText="1"/>
    </xf>
    <xf numFmtId="0" fontId="0" fillId="0" borderId="3" xfId="0" applyBorder="1" applyAlignment="1">
      <alignment wrapText="1"/>
    </xf>
    <xf numFmtId="14" fontId="0" fillId="0" borderId="3" xfId="0" applyNumberFormat="1" applyBorder="1" applyAlignment="1">
      <alignment horizontal="right" wrapText="1"/>
    </xf>
    <xf numFmtId="0" fontId="0" fillId="0" borderId="13" xfId="0" applyBorder="1" applyAlignment="1">
      <alignment wrapText="1"/>
    </xf>
    <xf numFmtId="16" fontId="0" fillId="0" borderId="1" xfId="0" applyNumberFormat="1" applyBorder="1" applyAlignment="1">
      <alignment horizontal="left" wrapText="1"/>
    </xf>
    <xf numFmtId="14" fontId="2" fillId="0" borderId="1" xfId="0" applyNumberFormat="1" applyFont="1" applyBorder="1" applyAlignment="1">
      <alignment horizontal="right" wrapText="1"/>
    </xf>
    <xf numFmtId="0" fontId="2" fillId="0" borderId="1" xfId="0" applyFont="1" applyBorder="1" applyAlignment="1">
      <alignment horizontal="left" wrapText="1"/>
    </xf>
    <xf numFmtId="14" fontId="12" fillId="0" borderId="1" xfId="0" applyNumberFormat="1" applyFont="1" applyBorder="1" applyAlignment="1">
      <alignment horizontal="right" wrapText="1"/>
    </xf>
    <xf numFmtId="14" fontId="8" fillId="0" borderId="1" xfId="0" applyNumberFormat="1" applyFont="1" applyBorder="1" applyAlignment="1">
      <alignment horizontal="right"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9" fontId="0" fillId="0" borderId="1" xfId="0" applyNumberFormat="1" applyBorder="1" applyAlignment="1">
      <alignment horizontal="left" vertical="center" wrapText="1"/>
    </xf>
    <xf numFmtId="0" fontId="0" fillId="0" borderId="13" xfId="0" applyBorder="1" applyAlignment="1">
      <alignment horizontal="left" vertical="center" wrapText="1"/>
    </xf>
    <xf numFmtId="0" fontId="8" fillId="0" borderId="13" xfId="0" applyFont="1" applyBorder="1"/>
    <xf numFmtId="0" fontId="2" fillId="0" borderId="13" xfId="0" applyFont="1" applyBorder="1" applyAlignment="1">
      <alignment wrapText="1"/>
    </xf>
    <xf numFmtId="0" fontId="0" fillId="0" borderId="15" xfId="0" applyBorder="1" applyAlignment="1">
      <alignment wrapText="1"/>
    </xf>
    <xf numFmtId="14" fontId="8" fillId="0" borderId="3" xfId="0" applyNumberFormat="1" applyFont="1" applyBorder="1" applyAlignment="1">
      <alignment horizontal="right" wrapText="1"/>
    </xf>
    <xf numFmtId="0" fontId="8" fillId="0" borderId="3" xfId="0" applyFont="1" applyBorder="1" applyAlignment="1">
      <alignment horizontal="left"/>
    </xf>
    <xf numFmtId="0" fontId="0" fillId="0" borderId="3" xfId="0" applyBorder="1" applyAlignment="1">
      <alignment horizontal="left" vertical="center" wrapText="1"/>
    </xf>
    <xf numFmtId="0" fontId="0" fillId="0" borderId="3" xfId="0" applyBorder="1" applyAlignment="1">
      <alignment horizontal="left" wrapText="1"/>
    </xf>
    <xf numFmtId="164" fontId="4" fillId="0" borderId="4" xfId="1" applyNumberFormat="1" applyFont="1" applyFill="1" applyBorder="1" applyAlignment="1">
      <alignment horizontal="center" vertical="center" wrapText="1"/>
    </xf>
    <xf numFmtId="164" fontId="0" fillId="0" borderId="1" xfId="1" applyNumberFormat="1" applyFont="1" applyFill="1" applyBorder="1" applyAlignment="1">
      <alignment horizontal="left" vertical="center" wrapText="1"/>
    </xf>
    <xf numFmtId="164" fontId="0" fillId="0" borderId="1" xfId="1" applyNumberFormat="1" applyFont="1" applyFill="1" applyBorder="1" applyAlignment="1">
      <alignment horizontal="left"/>
    </xf>
    <xf numFmtId="164" fontId="2" fillId="0" borderId="1" xfId="1" applyNumberFormat="1" applyFont="1" applyFill="1" applyBorder="1" applyAlignment="1">
      <alignment horizontal="left"/>
    </xf>
    <xf numFmtId="164" fontId="0" fillId="0" borderId="3" xfId="1" applyNumberFormat="1" applyFont="1" applyFill="1" applyBorder="1" applyAlignment="1">
      <alignment horizontal="left"/>
    </xf>
    <xf numFmtId="164" fontId="0" fillId="0" borderId="0" xfId="1" applyNumberFormat="1" applyFont="1" applyAlignment="1">
      <alignment horizontal="left"/>
    </xf>
    <xf numFmtId="0" fontId="16" fillId="0" borderId="13" xfId="0" applyFont="1" applyBorder="1"/>
    <xf numFmtId="0" fontId="17" fillId="0" borderId="1" xfId="0" applyFont="1" applyBorder="1" applyAlignment="1">
      <alignment horizontal="left" vertical="center" wrapText="1"/>
    </xf>
    <xf numFmtId="0" fontId="19" fillId="0" borderId="6" xfId="0" applyFont="1" applyBorder="1"/>
    <xf numFmtId="0" fontId="14" fillId="0" borderId="12" xfId="0" applyFont="1" applyBorder="1"/>
    <xf numFmtId="0" fontId="18" fillId="0" borderId="12" xfId="0" applyFont="1" applyBorder="1"/>
    <xf numFmtId="0" fontId="14" fillId="0" borderId="7" xfId="0" applyFont="1" applyBorder="1"/>
    <xf numFmtId="0" fontId="20" fillId="0" borderId="16" xfId="0" applyFont="1" applyBorder="1"/>
    <xf numFmtId="0" fontId="20" fillId="0" borderId="10" xfId="0" applyFont="1" applyBorder="1"/>
    <xf numFmtId="0" fontId="20" fillId="0" borderId="17" xfId="0" applyFont="1" applyBorder="1"/>
    <xf numFmtId="0" fontId="14" fillId="0" borderId="18" xfId="0" applyFont="1" applyBorder="1"/>
    <xf numFmtId="0" fontId="14" fillId="0" borderId="8" xfId="0" applyFont="1" applyBorder="1"/>
    <xf numFmtId="0" fontId="14" fillId="0" borderId="11" xfId="0" applyFont="1" applyBorder="1"/>
    <xf numFmtId="0" fontId="9" fillId="3" borderId="1" xfId="0" applyFont="1" applyFill="1" applyBorder="1" applyAlignment="1">
      <alignment horizontal="center" vertical="center" wrapText="1"/>
    </xf>
    <xf numFmtId="0" fontId="0" fillId="6" borderId="13" xfId="0" applyFill="1" applyBorder="1" applyAlignment="1">
      <alignment horizontal="left" vertical="center" wrapText="1"/>
    </xf>
    <xf numFmtId="14" fontId="12" fillId="6" borderId="0" xfId="0" applyNumberFormat="1" applyFont="1" applyFill="1" applyAlignment="1">
      <alignment wrapText="1"/>
    </xf>
    <xf numFmtId="0" fontId="0" fillId="6" borderId="13" xfId="0" applyFill="1" applyBorder="1" applyAlignment="1">
      <alignment wrapText="1"/>
    </xf>
    <xf numFmtId="14" fontId="11" fillId="6" borderId="9" xfId="0" applyNumberFormat="1" applyFont="1" applyFill="1" applyBorder="1"/>
    <xf numFmtId="14" fontId="0" fillId="6" borderId="1" xfId="0" applyNumberFormat="1" applyFill="1" applyBorder="1" applyAlignment="1">
      <alignment horizontal="right" wrapText="1"/>
    </xf>
    <xf numFmtId="0" fontId="20" fillId="0" borderId="7" xfId="0" applyFont="1" applyBorder="1" applyAlignment="1">
      <alignment horizontal="center"/>
    </xf>
    <xf numFmtId="0" fontId="20" fillId="0" borderId="19" xfId="0" applyFont="1" applyBorder="1" applyAlignment="1">
      <alignment horizontal="center"/>
    </xf>
    <xf numFmtId="0" fontId="20" fillId="0" borderId="12" xfId="0" applyFont="1" applyBorder="1" applyAlignment="1">
      <alignment horizontal="center"/>
    </xf>
  </cellXfs>
  <cellStyles count="2">
    <cellStyle name="Currency" xfId="1" builtinId="4"/>
    <cellStyle name="Normal" xfId="0" builtinId="0"/>
  </cellStyles>
  <dxfs count="43">
    <dxf>
      <font>
        <color rgb="FF9C0006"/>
      </font>
      <fill>
        <patternFill>
          <bgColor rgb="FFFFC7CE"/>
        </patternFill>
      </fill>
    </dxf>
    <dxf>
      <font>
        <b val="0"/>
        <i val="0"/>
        <strike val="0"/>
        <condense val="0"/>
        <extend val="0"/>
        <outline val="0"/>
        <shadow val="0"/>
        <u val="none"/>
        <vertAlign val="baseline"/>
        <sz val="9"/>
        <color rgb="FF000000"/>
        <name val="Calibri"/>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Aptos Narrow"/>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Calibri"/>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Calibri"/>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scheme val="none"/>
      </font>
    </dxf>
    <dxf>
      <border outline="0">
        <bottom style="thin">
          <color rgb="FF000000"/>
        </bottom>
      </border>
    </dxf>
    <dxf>
      <font>
        <b/>
        <i val="0"/>
        <strike val="0"/>
        <condense val="0"/>
        <extend val="0"/>
        <outline val="0"/>
        <shadow val="0"/>
        <u val="none"/>
        <vertAlign val="baseline"/>
        <sz val="9"/>
        <color rgb="FF000000"/>
        <name val="Calibri"/>
        <family val="2"/>
        <scheme val="none"/>
      </font>
      <border diagonalUp="0" diagonalDown="0" outline="0">
        <left style="thin">
          <color rgb="FF000000"/>
        </left>
        <right style="thin">
          <color rgb="FF000000"/>
        </right>
        <top/>
        <bottom/>
      </border>
    </dxf>
    <dxf>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quot;$&quot;* #,##0_);_(&quot;$&quot;* \(#,##0\);_(&quot;$&quot;* &quot;-&quot;??_);_(@_)"/>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numFmt numFmtId="19" formatCode="m/d/yyyy"/>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numFmt numFmtId="19" formatCode="m/d/yyyy"/>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234C5C-6291-418E-A0D4-EF0D71727E66}" name="Table1" displayName="Table1" ref="A1:V97" totalsRowShown="0" headerRowDxfId="42" dataDxfId="40" headerRowBorderDxfId="41" tableBorderDxfId="39" totalsRowBorderDxfId="38">
  <autoFilter ref="A1:V97" xr:uid="{52234C5C-6291-418E-A0D4-EF0D71727E66}"/>
  <tableColumns count="22">
    <tableColumn id="1" xr3:uid="{F5A0901D-632F-44A1-9FDA-7BE6F7F7D508}" name="Location/Program" dataDxfId="37"/>
    <tableColumn id="2" xr3:uid="{BDC3A4DF-9B15-411D-A596-6B67130A4E00}" name="Start Date" dataDxfId="36"/>
    <tableColumn id="3" xr3:uid="{D48EBF22-DFE9-4EE0-A397-F688B2C75DE8}" name="End Date" dataDxfId="35"/>
    <tableColumn id="4" xr3:uid="{AFCC77AF-5DA2-4347-97A5-A6AF581E6670}" name="Initiative" dataDxfId="34"/>
    <tableColumn id="5" xr3:uid="{D7EAE83E-8233-4280-BAA8-ED45290D9EDE}" name="Focus" dataDxfId="33"/>
    <tableColumn id="6" xr3:uid="{0258098C-F2D0-4C8D-B2BA-9575752DBA99}" name="Outreach Provider" dataDxfId="32"/>
    <tableColumn id="7" xr3:uid="{EDEDBEAF-3EBF-4F90-99FD-ED3FE14CDDC3}" name="IH Provider" dataDxfId="31"/>
    <tableColumn id="8" xr3:uid="{2AD6FBA5-76C1-4140-82EA-D31B022B58DB}" name="Service Provider Cost (per person per day) *Includes services" dataDxfId="30" dataCellStyle="Currency"/>
    <tableColumn id="9" xr3:uid="{0FDD8CAC-D8FE-45AD-B39A-7E18F7E97F9B}" name="Services Provided " dataDxfId="29"/>
    <tableColumn id="10" xr3:uid="{1F8F4B0B-B09C-451F-8C7B-CCF00EA15395}" name="Projected # PEH Before Inside Safe Operation" dataDxfId="28"/>
    <tableColumn id="11" xr3:uid="{50A11133-8F0F-4D0D-90DC-89052B68B6F7}" name="Total # People Moved Inside" dataDxfId="27">
      <calculatedColumnFormula>SUM(Table1[[#This Row],[In Interim Housing as of Reporting Date]:[In Permanent Housing  as of Reporting Date]])</calculatedColumnFormula>
    </tableColumn>
    <tableColumn id="12" xr3:uid="{58DEAA9D-61FF-45FC-8DFF-00001C4B54CF}" name="In Interim Housing as of Reporting Date" dataDxfId="26">
      <calculatedColumnFormula>VLOOKUP(Table1[[#This Row],[Location/Program]],Table2[],2,FALSE)</calculatedColumnFormula>
    </tableColumn>
    <tableColumn id="13" xr3:uid="{7542BD84-B5BD-45DC-AC8D-90B210DE09F7}" name="Incarcerated  as of Reporting Date" dataDxfId="25">
      <calculatedColumnFormula>VLOOKUP(Table1[[#This Row],[Location/Program]],Table2[],3,FALSE)</calculatedColumnFormula>
    </tableColumn>
    <tableColumn id="14" xr3:uid="{23532AE0-2F7F-4D36-BAF7-D3F0B5DEBA87}" name="Deceased  as of Reporting Date" dataDxfId="24">
      <calculatedColumnFormula>VLOOKUP(Table1[[#This Row],[Location/Program]],Table2[],4,FALSE)</calculatedColumnFormula>
    </tableColumn>
    <tableColumn id="15" xr3:uid="{7210FCEF-CA0E-4B95-9E7A-BDBF19022E56}" name="In Medical or Psychiatric Facility  as of Reporting Date" dataDxfId="23">
      <calculatedColumnFormula>VLOOKUP(Table1[[#This Row],[Location/Program]],Table2[],5,FALSE)</calculatedColumnFormula>
    </tableColumn>
    <tableColumn id="16" xr3:uid="{9A17D56B-A501-4750-9F1C-A89E13DFF113}" name="In Substance Use Facility  as of Reporting Date" dataDxfId="22">
      <calculatedColumnFormula>VLOOKUP(Table1[[#This Row],[Location/Program]],Table2[],6,FALSE)</calculatedColumnFormula>
    </tableColumn>
    <tableColumn id="17" xr3:uid="{0ACD02F6-09B9-4671-A2FE-80818DC88C6E}" name="Returned to Homelessness  as of Reporting Date" dataDxfId="21">
      <calculatedColumnFormula>VLOOKUP(Table1[[#This Row],[Location/Program]],Table2[],7,FALSE)</calculatedColumnFormula>
    </tableColumn>
    <tableColumn id="18" xr3:uid="{FC157FE1-58EE-499D-B975-392D903B5BBE}" name="Returned to Homelessness - Working with Provider  as of Reporting Date" dataDxfId="20">
      <calculatedColumnFormula>VLOOKUP(Table1[[#This Row],[Location/Program]],Table2[],8,FALSE)</calculatedColumnFormula>
    </tableColumn>
    <tableColumn id="19" xr3:uid="{1A72AA21-5BAA-484F-B93F-9EFFB5CC8CB7}" name="In Permanent Housing  as of Reporting Date" dataDxfId="19">
      <calculatedColumnFormula>VLOOKUP(Table1[[#This Row],[Location/Program]],Table2[],9,FALSE)</calculatedColumnFormula>
    </tableColumn>
    <tableColumn id="20" xr3:uid="{3B7CF5A4-882B-4093-AA98-6F3A11AA04FC}" name="Permanently Housed %" dataDxfId="18">
      <calculatedColumnFormula>Table1[[#This Row],[In Permanent Housing  as of Reporting Date]]/SUM(S2,L2)</calculatedColumnFormula>
    </tableColumn>
    <tableColumn id="21" xr3:uid="{12FE7C08-8F7C-4D09-95E0-B9294AB3F885}" name="Inside Safe Operation Site CD" dataDxfId="17"/>
    <tableColumn id="22" xr3:uid="{18EBC5A4-C568-4D06-B64F-F69C9995048C}" name="Motel CD(s)"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731984-E202-4639-937A-5FC926A8E731}" name="Table2" displayName="Table2" ref="A2:J99" totalsRowShown="0" headerRowDxfId="15" dataDxfId="13" headerRowBorderDxfId="14" tableBorderDxfId="12" totalsRowBorderDxfId="11">
  <autoFilter ref="A2:J99" xr:uid="{39731984-E202-4639-937A-5FC926A8E731}"/>
  <tableColumns count="10">
    <tableColumn id="1" xr3:uid="{5FE04AA1-A3F7-4602-83B7-FC92821F1A19}" name="Encampment Site" dataDxfId="10"/>
    <tableColumn id="4" xr3:uid="{9A0E6140-C429-4192-8BDF-ACE12CE3ED65}" name="Interim Housing" dataDxfId="9"/>
    <tableColumn id="3" xr3:uid="{15C7D1BE-542F-461B-BCCF-B599C4C941FA}" name="Incarcerated" dataDxfId="8"/>
    <tableColumn id="2" xr3:uid="{2DF4A538-0AA9-41D3-BE24-EE94ACCDC036}" name="Deceased" dataDxfId="7"/>
    <tableColumn id="5" xr3:uid="{D2910A2E-D18D-434B-82A1-9D4157C72A50}" name="Medical or Psychiatric Facility" dataDxfId="6"/>
    <tableColumn id="9" xr3:uid="{4EF48E69-F69D-4BE8-9098-99DD4F69B40B}" name="Substance Abuse Facility" dataDxfId="5"/>
    <tableColumn id="7" xr3:uid="{C1AEB16A-9FCE-4B3E-AB2B-F782CB90411B}" name="Returned to Homelessness" dataDxfId="4"/>
    <tableColumn id="8" xr3:uid="{373A5F4F-F07F-4909-993E-E4431AE6157C}" name="Returned to Homelessness - Working with Providers" dataDxfId="3"/>
    <tableColumn id="6" xr3:uid="{2DD67D0F-11C6-4AF7-927B-EABEBE660237}" name="Permanent Housing" dataDxfId="2"/>
    <tableColumn id="10" xr3:uid="{AC6250A4-9984-4B9A-9776-5ACE0010A96E}" name="Grand Total"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4387-946A-4387-99CC-27F2FD3234A2}">
  <dimension ref="A1:V97"/>
  <sheetViews>
    <sheetView showGridLines="0" tabSelected="1" zoomScale="60" zoomScaleNormal="60" workbookViewId="0">
      <pane xSplit="1" ySplit="1" topLeftCell="B73" activePane="bottomRight" state="frozen"/>
      <selection pane="topRight"/>
      <selection pane="bottomLeft"/>
      <selection pane="bottomRight" activeCell="X81" sqref="X81"/>
    </sheetView>
  </sheetViews>
  <sheetFormatPr defaultRowHeight="14.4" x14ac:dyDescent="0.3"/>
  <cols>
    <col min="1" max="1" width="42.6640625" style="1" customWidth="1"/>
    <col min="2" max="2" width="11.5546875" style="31" customWidth="1"/>
    <col min="3" max="3" width="13.5546875" style="31" customWidth="1"/>
    <col min="4" max="4" width="19.109375" style="1" bestFit="1" customWidth="1"/>
    <col min="5" max="5" width="24.6640625" style="1" customWidth="1"/>
    <col min="6" max="6" width="37.44140625" style="1" customWidth="1"/>
    <col min="7" max="7" width="33.88671875" style="1" customWidth="1"/>
    <col min="8" max="8" width="21.33203125" style="67" customWidth="1"/>
    <col min="9" max="9" width="26.6640625" style="1" customWidth="1"/>
    <col min="10" max="10" width="19.6640625" style="29" customWidth="1"/>
    <col min="11" max="11" width="18.6640625" style="29" customWidth="1"/>
    <col min="12" max="12" width="15.33203125" style="28" customWidth="1"/>
    <col min="13" max="13" width="15.88671875" style="28" customWidth="1"/>
    <col min="14" max="14" width="16" style="28" customWidth="1"/>
    <col min="15" max="15" width="22.5546875" style="28" customWidth="1"/>
    <col min="16" max="16" width="20.44140625" style="28" customWidth="1"/>
    <col min="17" max="17" width="19.88671875" style="28" customWidth="1"/>
    <col min="18" max="18" width="34.88671875" style="28" customWidth="1"/>
    <col min="19" max="19" width="20.33203125" style="28" customWidth="1"/>
    <col min="20" max="20" width="20" style="28" customWidth="1"/>
    <col min="21" max="21" width="20.6640625" style="29" customWidth="1"/>
    <col min="22" max="22" width="20.88671875" style="29" customWidth="1"/>
  </cols>
  <sheetData>
    <row r="1" spans="1:22" s="4" customFormat="1" ht="96.6" customHeight="1" x14ac:dyDescent="0.35">
      <c r="A1" s="51" t="s">
        <v>0</v>
      </c>
      <c r="B1" s="52" t="s">
        <v>1</v>
      </c>
      <c r="C1" s="52" t="s">
        <v>2</v>
      </c>
      <c r="D1" s="52" t="s">
        <v>3</v>
      </c>
      <c r="E1" s="52" t="s">
        <v>4</v>
      </c>
      <c r="F1" s="52" t="s">
        <v>5</v>
      </c>
      <c r="G1" s="52" t="s">
        <v>6</v>
      </c>
      <c r="H1" s="62" t="s">
        <v>7</v>
      </c>
      <c r="I1" s="52" t="s">
        <v>8</v>
      </c>
      <c r="J1" s="52" t="s">
        <v>9</v>
      </c>
      <c r="K1" s="52" t="s">
        <v>10</v>
      </c>
      <c r="L1" s="52" t="s">
        <v>11</v>
      </c>
      <c r="M1" s="52" t="s">
        <v>12</v>
      </c>
      <c r="N1" s="52" t="s">
        <v>13</v>
      </c>
      <c r="O1" s="52" t="s">
        <v>14</v>
      </c>
      <c r="P1" s="52" t="s">
        <v>15</v>
      </c>
      <c r="Q1" s="52" t="s">
        <v>16</v>
      </c>
      <c r="R1" s="52" t="s">
        <v>17</v>
      </c>
      <c r="S1" s="52" t="s">
        <v>18</v>
      </c>
      <c r="T1" s="52" t="s">
        <v>19</v>
      </c>
      <c r="U1" s="52" t="s">
        <v>20</v>
      </c>
      <c r="V1" s="52" t="s">
        <v>21</v>
      </c>
    </row>
    <row r="2" spans="1:22" x14ac:dyDescent="0.3">
      <c r="A2" s="45" t="s">
        <v>22</v>
      </c>
      <c r="B2" s="37">
        <v>44915</v>
      </c>
      <c r="C2" s="37">
        <v>44925</v>
      </c>
      <c r="D2" s="38" t="s">
        <v>23</v>
      </c>
      <c r="E2" s="38" t="s">
        <v>24</v>
      </c>
      <c r="F2" s="38" t="s">
        <v>25</v>
      </c>
      <c r="G2" s="38" t="s">
        <v>26</v>
      </c>
      <c r="H2" s="63">
        <v>110</v>
      </c>
      <c r="I2" s="35" t="s">
        <v>27</v>
      </c>
      <c r="J2" s="39">
        <v>31</v>
      </c>
      <c r="K2" s="35">
        <f>SUM(Table1[[#This Row],[In Interim Housing as of Reporting Date]:[In Permanent Housing  as of Reporting Date]])</f>
        <v>29</v>
      </c>
      <c r="L2" s="40">
        <f>VLOOKUP(Table1[[#This Row],[Location/Program]],Table2[],2,FALSE)</f>
        <v>12</v>
      </c>
      <c r="M2" s="40">
        <f>VLOOKUP(Table1[[#This Row],[Location/Program]],Table2[],3,FALSE)</f>
        <v>0</v>
      </c>
      <c r="N2" s="40">
        <f>VLOOKUP(Table1[[#This Row],[Location/Program]],Table2[],4,FALSE)</f>
        <v>1</v>
      </c>
      <c r="O2" s="40">
        <f>VLOOKUP(Table1[[#This Row],[Location/Program]],Table2[],5,FALSE)</f>
        <v>0</v>
      </c>
      <c r="P2" s="40">
        <f>VLOOKUP(Table1[[#This Row],[Location/Program]],Table2[],6,FALSE)</f>
        <v>0</v>
      </c>
      <c r="Q2" s="40">
        <f>VLOOKUP(Table1[[#This Row],[Location/Program]],Table2[],7,FALSE)</f>
        <v>6</v>
      </c>
      <c r="R2" s="40">
        <f>VLOOKUP(Table1[[#This Row],[Location/Program]],Table2[],8,FALSE)</f>
        <v>2</v>
      </c>
      <c r="S2" s="40">
        <f>VLOOKUP(Table1[[#This Row],[Location/Program]],Table2[],9,FALSE)</f>
        <v>8</v>
      </c>
      <c r="T2" s="53">
        <f>Table1[[#This Row],[In Permanent Housing  as of Reporting Date]]/SUM(S2,L2)</f>
        <v>0.4</v>
      </c>
      <c r="U2" s="39">
        <v>4</v>
      </c>
      <c r="V2" s="39" t="s">
        <v>28</v>
      </c>
    </row>
    <row r="3" spans="1:22" ht="28.8" x14ac:dyDescent="0.3">
      <c r="A3" s="45" t="s">
        <v>29</v>
      </c>
      <c r="B3" s="37">
        <v>44929</v>
      </c>
      <c r="C3" s="37">
        <v>44939</v>
      </c>
      <c r="D3" s="38" t="s">
        <v>23</v>
      </c>
      <c r="E3" s="38" t="s">
        <v>24</v>
      </c>
      <c r="F3" s="38" t="s">
        <v>30</v>
      </c>
      <c r="G3" s="38" t="s">
        <v>31</v>
      </c>
      <c r="H3" s="63">
        <v>110</v>
      </c>
      <c r="I3" s="35" t="s">
        <v>27</v>
      </c>
      <c r="J3" s="39">
        <v>107</v>
      </c>
      <c r="K3" s="35">
        <f>SUM(Table1[[#This Row],[In Interim Housing as of Reporting Date]:[In Permanent Housing  as of Reporting Date]])</f>
        <v>106</v>
      </c>
      <c r="L3" s="40">
        <f>VLOOKUP(Table1[[#This Row],[Location/Program]],Table2[],2,FALSE)</f>
        <v>26</v>
      </c>
      <c r="M3" s="40">
        <f>VLOOKUP(Table1[[#This Row],[Location/Program]],Table2[],3,FALSE)</f>
        <v>3</v>
      </c>
      <c r="N3" s="40">
        <f>VLOOKUP(Table1[[#This Row],[Location/Program]],Table2[],4,FALSE)</f>
        <v>5</v>
      </c>
      <c r="O3" s="40">
        <f>VLOOKUP(Table1[[#This Row],[Location/Program]],Table2[],5,FALSE)</f>
        <v>0</v>
      </c>
      <c r="P3" s="40">
        <f>VLOOKUP(Table1[[#This Row],[Location/Program]],Table2[],6,FALSE)</f>
        <v>1</v>
      </c>
      <c r="Q3" s="40">
        <f>VLOOKUP(Table1[[#This Row],[Location/Program]],Table2[],7,FALSE)</f>
        <v>28</v>
      </c>
      <c r="R3" s="40">
        <f>VLOOKUP(Table1[[#This Row],[Location/Program]],Table2[],8,FALSE)</f>
        <v>19</v>
      </c>
      <c r="S3" s="40">
        <f>VLOOKUP(Table1[[#This Row],[Location/Program]],Table2[],9,FALSE)</f>
        <v>24</v>
      </c>
      <c r="T3" s="53">
        <f>Table1[[#This Row],[In Permanent Housing  as of Reporting Date]]/SUM(S3,L3)</f>
        <v>0.48</v>
      </c>
      <c r="U3" s="39">
        <v>11</v>
      </c>
      <c r="V3" s="39" t="s">
        <v>32</v>
      </c>
    </row>
    <row r="4" spans="1:22" x14ac:dyDescent="0.3">
      <c r="A4" s="45" t="s">
        <v>33</v>
      </c>
      <c r="B4" s="37">
        <v>44953</v>
      </c>
      <c r="C4" s="37">
        <v>44953</v>
      </c>
      <c r="D4" s="38" t="s">
        <v>23</v>
      </c>
      <c r="E4" s="38" t="s">
        <v>24</v>
      </c>
      <c r="F4" s="38" t="s">
        <v>30</v>
      </c>
      <c r="G4" s="38" t="s">
        <v>30</v>
      </c>
      <c r="H4" s="63">
        <v>110</v>
      </c>
      <c r="I4" s="35" t="s">
        <v>27</v>
      </c>
      <c r="J4" s="39">
        <v>4</v>
      </c>
      <c r="K4" s="35">
        <f>SUM(Table1[[#This Row],[In Interim Housing as of Reporting Date]:[In Permanent Housing  as of Reporting Date]])</f>
        <v>3</v>
      </c>
      <c r="L4" s="40">
        <f>VLOOKUP(Table1[[#This Row],[Location/Program]],Table2[],2,FALSE)</f>
        <v>1</v>
      </c>
      <c r="M4" s="40">
        <f>VLOOKUP(Table1[[#This Row],[Location/Program]],Table2[],3,FALSE)</f>
        <v>0</v>
      </c>
      <c r="N4" s="40">
        <f>VLOOKUP(Table1[[#This Row],[Location/Program]],Table2[],4,FALSE)</f>
        <v>0</v>
      </c>
      <c r="O4" s="40">
        <f>VLOOKUP(Table1[[#This Row],[Location/Program]],Table2[],5,FALSE)</f>
        <v>0</v>
      </c>
      <c r="P4" s="40">
        <f>VLOOKUP(Table1[[#This Row],[Location/Program]],Table2[],6,FALSE)</f>
        <v>0</v>
      </c>
      <c r="Q4" s="40">
        <f>VLOOKUP(Table1[[#This Row],[Location/Program]],Table2[],7,FALSE)</f>
        <v>1</v>
      </c>
      <c r="R4" s="40">
        <f>VLOOKUP(Table1[[#This Row],[Location/Program]],Table2[],8,FALSE)</f>
        <v>0</v>
      </c>
      <c r="S4" s="40">
        <f>VLOOKUP(Table1[[#This Row],[Location/Program]],Table2[],9,FALSE)</f>
        <v>1</v>
      </c>
      <c r="T4" s="53">
        <f>Table1[[#This Row],[In Permanent Housing  as of Reporting Date]]/SUM(S4,L4)</f>
        <v>0.5</v>
      </c>
      <c r="U4" s="39">
        <v>11</v>
      </c>
      <c r="V4" s="39">
        <v>3</v>
      </c>
    </row>
    <row r="5" spans="1:22" x14ac:dyDescent="0.3">
      <c r="A5" s="81" t="s">
        <v>34</v>
      </c>
      <c r="B5" s="82">
        <v>45378</v>
      </c>
      <c r="C5" s="82">
        <v>45378</v>
      </c>
      <c r="D5" s="38" t="s">
        <v>23</v>
      </c>
      <c r="E5" s="35" t="s">
        <v>35</v>
      </c>
      <c r="F5" s="38" t="s">
        <v>36</v>
      </c>
      <c r="G5" s="35" t="s">
        <v>37</v>
      </c>
      <c r="H5" s="63">
        <v>110</v>
      </c>
      <c r="I5" s="35" t="s">
        <v>27</v>
      </c>
      <c r="J5" s="69" t="s">
        <v>38</v>
      </c>
      <c r="K5" s="35">
        <f>SUM(Table1[[#This Row],[In Interim Housing as of Reporting Date]:[In Permanent Housing  as of Reporting Date]])</f>
        <v>5</v>
      </c>
      <c r="L5" s="40">
        <f>VLOOKUP(Table1[[#This Row],[Location/Program]],Table2[],2,FALSE)</f>
        <v>5</v>
      </c>
      <c r="M5" s="40">
        <f>VLOOKUP(Table1[[#This Row],[Location/Program]],Table2[],3,FALSE)</f>
        <v>0</v>
      </c>
      <c r="N5" s="40">
        <f>VLOOKUP(Table1[[#This Row],[Location/Program]],Table2[],4,FALSE)</f>
        <v>0</v>
      </c>
      <c r="O5" s="40">
        <f>VLOOKUP(Table1[[#This Row],[Location/Program]],Table2[],5,FALSE)</f>
        <v>0</v>
      </c>
      <c r="P5" s="40">
        <f>VLOOKUP(Table1[[#This Row],[Location/Program]],Table2[],6,FALSE)</f>
        <v>0</v>
      </c>
      <c r="Q5" s="40">
        <f>VLOOKUP(Table1[[#This Row],[Location/Program]],Table2[],7,FALSE)</f>
        <v>0</v>
      </c>
      <c r="R5" s="40">
        <f>VLOOKUP(Table1[[#This Row],[Location/Program]],Table2[],8,FALSE)</f>
        <v>0</v>
      </c>
      <c r="S5" s="40">
        <f>VLOOKUP(Table1[[#This Row],[Location/Program]],Table2[],9,FALSE)</f>
        <v>0</v>
      </c>
      <c r="T5" s="53">
        <f>Table1[[#This Row],[In Permanent Housing  as of Reporting Date]]/SUM(S5,L5)</f>
        <v>0</v>
      </c>
      <c r="U5" s="35">
        <v>9</v>
      </c>
      <c r="V5" s="35" t="s">
        <v>39</v>
      </c>
    </row>
    <row r="6" spans="1:22" x14ac:dyDescent="0.3">
      <c r="A6" s="45" t="s">
        <v>40</v>
      </c>
      <c r="B6" s="37">
        <v>44956</v>
      </c>
      <c r="C6" s="37">
        <v>44956</v>
      </c>
      <c r="D6" s="38" t="s">
        <v>23</v>
      </c>
      <c r="E6" s="38" t="s">
        <v>24</v>
      </c>
      <c r="F6" s="38" t="s">
        <v>41</v>
      </c>
      <c r="G6" s="38" t="s">
        <v>41</v>
      </c>
      <c r="H6" s="63">
        <v>110</v>
      </c>
      <c r="I6" s="35" t="s">
        <v>27</v>
      </c>
      <c r="J6" s="39">
        <v>27</v>
      </c>
      <c r="K6" s="35">
        <f>SUM(Table1[[#This Row],[In Interim Housing as of Reporting Date]:[In Permanent Housing  as of Reporting Date]])</f>
        <v>28</v>
      </c>
      <c r="L6" s="40">
        <f>VLOOKUP(Table1[[#This Row],[Location/Program]],Table2[],2,FALSE)</f>
        <v>13</v>
      </c>
      <c r="M6" s="40">
        <f>VLOOKUP(Table1[[#This Row],[Location/Program]],Table2[],3,FALSE)</f>
        <v>0</v>
      </c>
      <c r="N6" s="40">
        <f>VLOOKUP(Table1[[#This Row],[Location/Program]],Table2[],4,FALSE)</f>
        <v>2</v>
      </c>
      <c r="O6" s="40">
        <f>VLOOKUP(Table1[[#This Row],[Location/Program]],Table2[],5,FALSE)</f>
        <v>1</v>
      </c>
      <c r="P6" s="40">
        <f>VLOOKUP(Table1[[#This Row],[Location/Program]],Table2[],6,FALSE)</f>
        <v>0</v>
      </c>
      <c r="Q6" s="40">
        <f>VLOOKUP(Table1[[#This Row],[Location/Program]],Table2[],7,FALSE)</f>
        <v>3</v>
      </c>
      <c r="R6" s="40">
        <f>VLOOKUP(Table1[[#This Row],[Location/Program]],Table2[],8,FALSE)</f>
        <v>1</v>
      </c>
      <c r="S6" s="40">
        <f>VLOOKUP(Table1[[#This Row],[Location/Program]],Table2[],9,FALSE)</f>
        <v>8</v>
      </c>
      <c r="T6" s="53">
        <f>Table1[[#This Row],[In Permanent Housing  as of Reporting Date]]/SUM(S6,L6)</f>
        <v>0.38095238095238093</v>
      </c>
      <c r="U6" s="39">
        <v>8</v>
      </c>
      <c r="V6" s="39" t="s">
        <v>42</v>
      </c>
    </row>
    <row r="7" spans="1:22" x14ac:dyDescent="0.3">
      <c r="A7" s="45" t="s">
        <v>43</v>
      </c>
      <c r="B7" s="37">
        <v>44956</v>
      </c>
      <c r="C7" s="37">
        <v>44960</v>
      </c>
      <c r="D7" s="38" t="s">
        <v>23</v>
      </c>
      <c r="E7" s="38" t="s">
        <v>24</v>
      </c>
      <c r="F7" s="38" t="s">
        <v>30</v>
      </c>
      <c r="G7" s="38" t="s">
        <v>41</v>
      </c>
      <c r="H7" s="63">
        <v>110</v>
      </c>
      <c r="I7" s="35" t="s">
        <v>27</v>
      </c>
      <c r="J7" s="39">
        <v>51</v>
      </c>
      <c r="K7" s="35">
        <f>SUM(Table1[[#This Row],[In Interim Housing as of Reporting Date]:[In Permanent Housing  as of Reporting Date]])</f>
        <v>51</v>
      </c>
      <c r="L7" s="40">
        <f>VLOOKUP(Table1[[#This Row],[Location/Program]],Table2[],2,FALSE)</f>
        <v>24</v>
      </c>
      <c r="M7" s="40">
        <f>VLOOKUP(Table1[[#This Row],[Location/Program]],Table2[],3,FALSE)</f>
        <v>0</v>
      </c>
      <c r="N7" s="40">
        <f>VLOOKUP(Table1[[#This Row],[Location/Program]],Table2[],4,FALSE)</f>
        <v>0</v>
      </c>
      <c r="O7" s="40">
        <f>VLOOKUP(Table1[[#This Row],[Location/Program]],Table2[],5,FALSE)</f>
        <v>0</v>
      </c>
      <c r="P7" s="40">
        <f>VLOOKUP(Table1[[#This Row],[Location/Program]],Table2[],6,FALSE)</f>
        <v>0</v>
      </c>
      <c r="Q7" s="40">
        <f>VLOOKUP(Table1[[#This Row],[Location/Program]],Table2[],7,FALSE)</f>
        <v>13</v>
      </c>
      <c r="R7" s="40">
        <f>VLOOKUP(Table1[[#This Row],[Location/Program]],Table2[],8,FALSE)</f>
        <v>1</v>
      </c>
      <c r="S7" s="40">
        <f>VLOOKUP(Table1[[#This Row],[Location/Program]],Table2[],9,FALSE)</f>
        <v>13</v>
      </c>
      <c r="T7" s="53">
        <f>Table1[[#This Row],[In Permanent Housing  as of Reporting Date]]/SUM(S7,L7)</f>
        <v>0.35135135135135137</v>
      </c>
      <c r="U7" s="39">
        <v>11</v>
      </c>
      <c r="V7" s="39" t="s">
        <v>44</v>
      </c>
    </row>
    <row r="8" spans="1:22" x14ac:dyDescent="0.3">
      <c r="A8" s="45" t="s">
        <v>45</v>
      </c>
      <c r="B8" s="37">
        <v>44964</v>
      </c>
      <c r="C8" s="37">
        <v>44964</v>
      </c>
      <c r="D8" s="38" t="s">
        <v>23</v>
      </c>
      <c r="E8" s="38" t="s">
        <v>24</v>
      </c>
      <c r="F8" s="38" t="s">
        <v>41</v>
      </c>
      <c r="G8" s="38" t="s">
        <v>41</v>
      </c>
      <c r="H8" s="63">
        <v>110</v>
      </c>
      <c r="I8" s="35" t="s">
        <v>27</v>
      </c>
      <c r="J8" s="39">
        <v>37</v>
      </c>
      <c r="K8" s="35">
        <f>SUM(Table1[[#This Row],[In Interim Housing as of Reporting Date]:[In Permanent Housing  as of Reporting Date]])</f>
        <v>38</v>
      </c>
      <c r="L8" s="40">
        <f>VLOOKUP(Table1[[#This Row],[Location/Program]],Table2[],2,FALSE)</f>
        <v>12</v>
      </c>
      <c r="M8" s="40">
        <f>VLOOKUP(Table1[[#This Row],[Location/Program]],Table2[],3,FALSE)</f>
        <v>2</v>
      </c>
      <c r="N8" s="40">
        <f>VLOOKUP(Table1[[#This Row],[Location/Program]],Table2[],4,FALSE)</f>
        <v>1</v>
      </c>
      <c r="O8" s="40">
        <f>VLOOKUP(Table1[[#This Row],[Location/Program]],Table2[],5,FALSE)</f>
        <v>1</v>
      </c>
      <c r="P8" s="40">
        <f>VLOOKUP(Table1[[#This Row],[Location/Program]],Table2[],6,FALSE)</f>
        <v>0</v>
      </c>
      <c r="Q8" s="40">
        <f>VLOOKUP(Table1[[#This Row],[Location/Program]],Table2[],7,FALSE)</f>
        <v>3</v>
      </c>
      <c r="R8" s="40">
        <f>VLOOKUP(Table1[[#This Row],[Location/Program]],Table2[],8,FALSE)</f>
        <v>2</v>
      </c>
      <c r="S8" s="40">
        <f>VLOOKUP(Table1[[#This Row],[Location/Program]],Table2[],9,FALSE)</f>
        <v>17</v>
      </c>
      <c r="T8" s="53">
        <f>Table1[[#This Row],[In Permanent Housing  as of Reporting Date]]/SUM(S8,L8)</f>
        <v>0.58620689655172409</v>
      </c>
      <c r="U8" s="39">
        <v>8</v>
      </c>
      <c r="V8" s="39" t="s">
        <v>46</v>
      </c>
    </row>
    <row r="9" spans="1:22" ht="28.8" x14ac:dyDescent="0.3">
      <c r="A9" s="45" t="s">
        <v>47</v>
      </c>
      <c r="B9" s="37">
        <v>44970</v>
      </c>
      <c r="C9" s="37">
        <v>44971</v>
      </c>
      <c r="D9" s="38" t="s">
        <v>23</v>
      </c>
      <c r="E9" s="38" t="s">
        <v>24</v>
      </c>
      <c r="F9" s="38" t="s">
        <v>48</v>
      </c>
      <c r="G9" s="38" t="s">
        <v>48</v>
      </c>
      <c r="H9" s="64">
        <v>110</v>
      </c>
      <c r="I9" s="35" t="s">
        <v>27</v>
      </c>
      <c r="J9" s="39">
        <v>49</v>
      </c>
      <c r="K9" s="35">
        <f>SUM(Table1[[#This Row],[In Interim Housing as of Reporting Date]:[In Permanent Housing  as of Reporting Date]])</f>
        <v>44</v>
      </c>
      <c r="L9" s="40">
        <f>VLOOKUP(Table1[[#This Row],[Location/Program]],Table2[],2,FALSE)</f>
        <v>23</v>
      </c>
      <c r="M9" s="40">
        <f>VLOOKUP(Table1[[#This Row],[Location/Program]],Table2[],3,FALSE)</f>
        <v>0</v>
      </c>
      <c r="N9" s="40">
        <f>VLOOKUP(Table1[[#This Row],[Location/Program]],Table2[],4,FALSE)</f>
        <v>0</v>
      </c>
      <c r="O9" s="40">
        <f>VLOOKUP(Table1[[#This Row],[Location/Program]],Table2[],5,FALSE)</f>
        <v>0</v>
      </c>
      <c r="P9" s="40">
        <f>VLOOKUP(Table1[[#This Row],[Location/Program]],Table2[],6,FALSE)</f>
        <v>0</v>
      </c>
      <c r="Q9" s="40">
        <f>VLOOKUP(Table1[[#This Row],[Location/Program]],Table2[],7,FALSE)</f>
        <v>9</v>
      </c>
      <c r="R9" s="40">
        <f>VLOOKUP(Table1[[#This Row],[Location/Program]],Table2[],8,FALSE)</f>
        <v>4</v>
      </c>
      <c r="S9" s="40">
        <f>VLOOKUP(Table1[[#This Row],[Location/Program]],Table2[],9,FALSE)</f>
        <v>8</v>
      </c>
      <c r="T9" s="53">
        <f>Table1[[#This Row],[In Permanent Housing  as of Reporting Date]]/SUM(S9,L9)</f>
        <v>0.25806451612903225</v>
      </c>
      <c r="U9" s="39">
        <v>2</v>
      </c>
      <c r="V9" s="39">
        <v>6</v>
      </c>
    </row>
    <row r="10" spans="1:22" x14ac:dyDescent="0.3">
      <c r="A10" s="45" t="s">
        <v>49</v>
      </c>
      <c r="B10" s="37">
        <v>44973</v>
      </c>
      <c r="C10" s="37">
        <v>44974</v>
      </c>
      <c r="D10" s="38" t="s">
        <v>23</v>
      </c>
      <c r="E10" s="38" t="s">
        <v>24</v>
      </c>
      <c r="F10" s="38" t="s">
        <v>25</v>
      </c>
      <c r="G10" s="38" t="s">
        <v>50</v>
      </c>
      <c r="H10" s="64">
        <v>110</v>
      </c>
      <c r="I10" s="35" t="s">
        <v>27</v>
      </c>
      <c r="J10" s="39">
        <v>43</v>
      </c>
      <c r="K10" s="35">
        <f>SUM(Table1[[#This Row],[In Interim Housing as of Reporting Date]:[In Permanent Housing  as of Reporting Date]])</f>
        <v>42</v>
      </c>
      <c r="L10" s="40">
        <f>VLOOKUP(Table1[[#This Row],[Location/Program]],Table2[],2,FALSE)</f>
        <v>6</v>
      </c>
      <c r="M10" s="40">
        <f>VLOOKUP(Table1[[#This Row],[Location/Program]],Table2[],3,FALSE)</f>
        <v>0</v>
      </c>
      <c r="N10" s="40">
        <f>VLOOKUP(Table1[[#This Row],[Location/Program]],Table2[],4,FALSE)</f>
        <v>2</v>
      </c>
      <c r="O10" s="40">
        <f>VLOOKUP(Table1[[#This Row],[Location/Program]],Table2[],5,FALSE)</f>
        <v>0</v>
      </c>
      <c r="P10" s="40">
        <f>VLOOKUP(Table1[[#This Row],[Location/Program]],Table2[],6,FALSE)</f>
        <v>0</v>
      </c>
      <c r="Q10" s="40">
        <f>VLOOKUP(Table1[[#This Row],[Location/Program]],Table2[],7,FALSE)</f>
        <v>5</v>
      </c>
      <c r="R10" s="40">
        <f>VLOOKUP(Table1[[#This Row],[Location/Program]],Table2[],8,FALSE)</f>
        <v>6</v>
      </c>
      <c r="S10" s="40">
        <f>VLOOKUP(Table1[[#This Row],[Location/Program]],Table2[],9,FALSE)</f>
        <v>23</v>
      </c>
      <c r="T10" s="53">
        <f>Table1[[#This Row],[In Permanent Housing  as of Reporting Date]]/SUM(S10,L10)</f>
        <v>0.7931034482758621</v>
      </c>
      <c r="U10" s="39">
        <v>5</v>
      </c>
      <c r="V10" s="39" t="s">
        <v>51</v>
      </c>
    </row>
    <row r="11" spans="1:22" x14ac:dyDescent="0.3">
      <c r="A11" s="45" t="s">
        <v>52</v>
      </c>
      <c r="B11" s="37">
        <v>44978</v>
      </c>
      <c r="C11" s="37">
        <v>44978</v>
      </c>
      <c r="D11" s="38" t="s">
        <v>23</v>
      </c>
      <c r="E11" s="38" t="s">
        <v>24</v>
      </c>
      <c r="F11" s="38" t="s">
        <v>41</v>
      </c>
      <c r="G11" s="38" t="s">
        <v>41</v>
      </c>
      <c r="H11" s="64">
        <v>110</v>
      </c>
      <c r="I11" s="35" t="s">
        <v>27</v>
      </c>
      <c r="J11" s="39">
        <v>33</v>
      </c>
      <c r="K11" s="35">
        <f>SUM(Table1[[#This Row],[In Interim Housing as of Reporting Date]:[In Permanent Housing  as of Reporting Date]])</f>
        <v>20</v>
      </c>
      <c r="L11" s="40">
        <f>VLOOKUP(Table1[[#This Row],[Location/Program]],Table2[],2,FALSE)</f>
        <v>10</v>
      </c>
      <c r="M11" s="40">
        <f>VLOOKUP(Table1[[#This Row],[Location/Program]],Table2[],3,FALSE)</f>
        <v>0</v>
      </c>
      <c r="N11" s="40">
        <f>VLOOKUP(Table1[[#This Row],[Location/Program]],Table2[],4,FALSE)</f>
        <v>0</v>
      </c>
      <c r="O11" s="40">
        <f>VLOOKUP(Table1[[#This Row],[Location/Program]],Table2[],5,FALSE)</f>
        <v>0</v>
      </c>
      <c r="P11" s="40">
        <f>VLOOKUP(Table1[[#This Row],[Location/Program]],Table2[],6,FALSE)</f>
        <v>0</v>
      </c>
      <c r="Q11" s="40">
        <f>VLOOKUP(Table1[[#This Row],[Location/Program]],Table2[],7,FALSE)</f>
        <v>0</v>
      </c>
      <c r="R11" s="40">
        <f>VLOOKUP(Table1[[#This Row],[Location/Program]],Table2[],8,FALSE)</f>
        <v>0</v>
      </c>
      <c r="S11" s="40">
        <f>VLOOKUP(Table1[[#This Row],[Location/Program]],Table2[],9,FALSE)</f>
        <v>10</v>
      </c>
      <c r="T11" s="53">
        <f>Table1[[#This Row],[In Permanent Housing  as of Reporting Date]]/SUM(S11,L11)</f>
        <v>0.5</v>
      </c>
      <c r="U11" s="39">
        <v>8</v>
      </c>
      <c r="V11" s="39" t="s">
        <v>53</v>
      </c>
    </row>
    <row r="12" spans="1:22" x14ac:dyDescent="0.3">
      <c r="A12" s="45" t="s">
        <v>54</v>
      </c>
      <c r="B12" s="37">
        <v>44985</v>
      </c>
      <c r="C12" s="37">
        <v>44985</v>
      </c>
      <c r="D12" s="38" t="s">
        <v>23</v>
      </c>
      <c r="E12" s="38" t="s">
        <v>24</v>
      </c>
      <c r="F12" s="38" t="s">
        <v>41</v>
      </c>
      <c r="G12" s="38" t="s">
        <v>41</v>
      </c>
      <c r="H12" s="64">
        <v>110</v>
      </c>
      <c r="I12" s="35" t="s">
        <v>27</v>
      </c>
      <c r="J12" s="39">
        <v>54</v>
      </c>
      <c r="K12" s="35">
        <f>SUM(Table1[[#This Row],[In Interim Housing as of Reporting Date]:[In Permanent Housing  as of Reporting Date]])</f>
        <v>51</v>
      </c>
      <c r="L12" s="40">
        <f>VLOOKUP(Table1[[#This Row],[Location/Program]],Table2[],2,FALSE)</f>
        <v>13</v>
      </c>
      <c r="M12" s="40">
        <f>VLOOKUP(Table1[[#This Row],[Location/Program]],Table2[],3,FALSE)</f>
        <v>4</v>
      </c>
      <c r="N12" s="40">
        <f>VLOOKUP(Table1[[#This Row],[Location/Program]],Table2[],4,FALSE)</f>
        <v>3</v>
      </c>
      <c r="O12" s="40">
        <f>VLOOKUP(Table1[[#This Row],[Location/Program]],Table2[],5,FALSE)</f>
        <v>0</v>
      </c>
      <c r="P12" s="40">
        <f>VLOOKUP(Table1[[#This Row],[Location/Program]],Table2[],6,FALSE)</f>
        <v>0</v>
      </c>
      <c r="Q12" s="40">
        <f>VLOOKUP(Table1[[#This Row],[Location/Program]],Table2[],7,FALSE)</f>
        <v>13</v>
      </c>
      <c r="R12" s="40">
        <f>VLOOKUP(Table1[[#This Row],[Location/Program]],Table2[],8,FALSE)</f>
        <v>3</v>
      </c>
      <c r="S12" s="40">
        <f>VLOOKUP(Table1[[#This Row],[Location/Program]],Table2[],9,FALSE)</f>
        <v>15</v>
      </c>
      <c r="T12" s="53">
        <f>Table1[[#This Row],[In Permanent Housing  as of Reporting Date]]/SUM(S12,L12)</f>
        <v>0.5357142857142857</v>
      </c>
      <c r="U12" s="39">
        <v>8</v>
      </c>
      <c r="V12" s="39" t="s">
        <v>55</v>
      </c>
    </row>
    <row r="13" spans="1:22" x14ac:dyDescent="0.3">
      <c r="A13" s="45" t="s">
        <v>56</v>
      </c>
      <c r="B13" s="37">
        <v>44986</v>
      </c>
      <c r="C13" s="37">
        <v>45006</v>
      </c>
      <c r="D13" s="38" t="s">
        <v>23</v>
      </c>
      <c r="E13" s="38" t="s">
        <v>57</v>
      </c>
      <c r="F13" s="38" t="s">
        <v>58</v>
      </c>
      <c r="G13" s="38" t="s">
        <v>59</v>
      </c>
      <c r="H13" s="64">
        <v>110</v>
      </c>
      <c r="I13" s="35" t="s">
        <v>27</v>
      </c>
      <c r="J13" s="69" t="s">
        <v>38</v>
      </c>
      <c r="K13" s="35">
        <f>SUM(Table1[[#This Row],[In Interim Housing as of Reporting Date]:[In Permanent Housing  as of Reporting Date]])</f>
        <v>7</v>
      </c>
      <c r="L13" s="40">
        <f>VLOOKUP(Table1[[#This Row],[Location/Program]],Table2[],2,FALSE)</f>
        <v>3</v>
      </c>
      <c r="M13" s="40">
        <f>VLOOKUP(Table1[[#This Row],[Location/Program]],Table2[],3,FALSE)</f>
        <v>1</v>
      </c>
      <c r="N13" s="40">
        <f>VLOOKUP(Table1[[#This Row],[Location/Program]],Table2[],4,FALSE)</f>
        <v>0</v>
      </c>
      <c r="O13" s="40">
        <f>VLOOKUP(Table1[[#This Row],[Location/Program]],Table2[],5,FALSE)</f>
        <v>0</v>
      </c>
      <c r="P13" s="40">
        <f>VLOOKUP(Table1[[#This Row],[Location/Program]],Table2[],6,FALSE)</f>
        <v>0</v>
      </c>
      <c r="Q13" s="40">
        <f>VLOOKUP(Table1[[#This Row],[Location/Program]],Table2[],7,FALSE)</f>
        <v>1</v>
      </c>
      <c r="R13" s="40">
        <f>VLOOKUP(Table1[[#This Row],[Location/Program]],Table2[],8,FALSE)</f>
        <v>1</v>
      </c>
      <c r="S13" s="40">
        <f>VLOOKUP(Table1[[#This Row],[Location/Program]],Table2[],9,FALSE)</f>
        <v>1</v>
      </c>
      <c r="T13" s="53">
        <f>Table1[[#This Row],[In Permanent Housing  as of Reporting Date]]/SUM(S13,L13)</f>
        <v>0.25</v>
      </c>
      <c r="U13" s="39">
        <v>14</v>
      </c>
      <c r="V13" s="39">
        <v>14</v>
      </c>
    </row>
    <row r="14" spans="1:22" x14ac:dyDescent="0.3">
      <c r="A14" s="45" t="s">
        <v>60</v>
      </c>
      <c r="B14" s="37">
        <v>44986</v>
      </c>
      <c r="C14" s="37">
        <v>45365</v>
      </c>
      <c r="D14" s="38" t="s">
        <v>23</v>
      </c>
      <c r="E14" s="38" t="s">
        <v>57</v>
      </c>
      <c r="F14" s="38" t="s">
        <v>61</v>
      </c>
      <c r="G14" s="38" t="s">
        <v>59</v>
      </c>
      <c r="H14" s="64">
        <v>110</v>
      </c>
      <c r="I14" s="35" t="s">
        <v>27</v>
      </c>
      <c r="J14" s="69" t="s">
        <v>38</v>
      </c>
      <c r="K14" s="35">
        <f>SUM(Table1[[#This Row],[In Interim Housing as of Reporting Date]:[In Permanent Housing  as of Reporting Date]])</f>
        <v>27</v>
      </c>
      <c r="L14" s="40">
        <f>VLOOKUP(Table1[[#This Row],[Location/Program]],Table2[],2,FALSE)</f>
        <v>17</v>
      </c>
      <c r="M14" s="40">
        <f>VLOOKUP(Table1[[#This Row],[Location/Program]],Table2[],3,FALSE)</f>
        <v>0</v>
      </c>
      <c r="N14" s="40">
        <f>VLOOKUP(Table1[[#This Row],[Location/Program]],Table2[],4,FALSE)</f>
        <v>1</v>
      </c>
      <c r="O14" s="40">
        <f>VLOOKUP(Table1[[#This Row],[Location/Program]],Table2[],5,FALSE)</f>
        <v>0</v>
      </c>
      <c r="P14" s="40">
        <f>VLOOKUP(Table1[[#This Row],[Location/Program]],Table2[],6,FALSE)</f>
        <v>0</v>
      </c>
      <c r="Q14" s="40">
        <f>VLOOKUP(Table1[[#This Row],[Location/Program]],Table2[],7,FALSE)</f>
        <v>9</v>
      </c>
      <c r="R14" s="40">
        <f>VLOOKUP(Table1[[#This Row],[Location/Program]],Table2[],8,FALSE)</f>
        <v>0</v>
      </c>
      <c r="S14" s="40">
        <f>VLOOKUP(Table1[[#This Row],[Location/Program]],Table2[],9,FALSE)</f>
        <v>0</v>
      </c>
      <c r="T14" s="53">
        <f>Table1[[#This Row],[In Permanent Housing  as of Reporting Date]]/SUM(S14,L14)</f>
        <v>0</v>
      </c>
      <c r="U14" s="39">
        <v>4</v>
      </c>
      <c r="V14" s="39">
        <v>14</v>
      </c>
    </row>
    <row r="15" spans="1:22" x14ac:dyDescent="0.3">
      <c r="A15" s="83" t="s">
        <v>62</v>
      </c>
      <c r="B15" s="84">
        <v>45356</v>
      </c>
      <c r="C15" s="84">
        <v>45356</v>
      </c>
      <c r="D15" s="38" t="s">
        <v>23</v>
      </c>
      <c r="E15" s="35" t="s">
        <v>35</v>
      </c>
      <c r="F15" s="38" t="s">
        <v>36</v>
      </c>
      <c r="G15" s="38" t="s">
        <v>63</v>
      </c>
      <c r="H15" s="63">
        <v>110</v>
      </c>
      <c r="I15" s="41" t="s">
        <v>27</v>
      </c>
      <c r="J15" s="69" t="s">
        <v>38</v>
      </c>
      <c r="K15" s="35">
        <f>SUM(Table1[[#This Row],[In Interim Housing as of Reporting Date]:[In Permanent Housing  as of Reporting Date]])</f>
        <v>1</v>
      </c>
      <c r="L15" s="40">
        <f>VLOOKUP(Table1[[#This Row],[Location/Program]],Table2[],2,FALSE)</f>
        <v>1</v>
      </c>
      <c r="M15" s="40">
        <f>VLOOKUP(Table1[[#This Row],[Location/Program]],Table2[],3,FALSE)</f>
        <v>0</v>
      </c>
      <c r="N15" s="40">
        <f>VLOOKUP(Table1[[#This Row],[Location/Program]],Table2[],4,FALSE)</f>
        <v>0</v>
      </c>
      <c r="O15" s="40">
        <f>VLOOKUP(Table1[[#This Row],[Location/Program]],Table2[],5,FALSE)</f>
        <v>0</v>
      </c>
      <c r="P15" s="40">
        <f>VLOOKUP(Table1[[#This Row],[Location/Program]],Table2[],6,FALSE)</f>
        <v>0</v>
      </c>
      <c r="Q15" s="40">
        <f>VLOOKUP(Table1[[#This Row],[Location/Program]],Table2[],7,FALSE)</f>
        <v>0</v>
      </c>
      <c r="R15" s="40">
        <f>VLOOKUP(Table1[[#This Row],[Location/Program]],Table2[],8,FALSE)</f>
        <v>0</v>
      </c>
      <c r="S15" s="40">
        <f>VLOOKUP(Table1[[#This Row],[Location/Program]],Table2[],9,FALSE)</f>
        <v>0</v>
      </c>
      <c r="T15" s="53">
        <f>Table1[[#This Row],[In Permanent Housing  as of Reporting Date]]/SUM(S15,L15)</f>
        <v>0</v>
      </c>
      <c r="U15" s="39">
        <v>8</v>
      </c>
      <c r="V15" s="39">
        <v>6</v>
      </c>
    </row>
    <row r="16" spans="1:22" x14ac:dyDescent="0.3">
      <c r="A16" s="45" t="s">
        <v>64</v>
      </c>
      <c r="B16" s="37">
        <v>44994</v>
      </c>
      <c r="C16" s="37">
        <v>44994</v>
      </c>
      <c r="D16" s="38" t="s">
        <v>23</v>
      </c>
      <c r="E16" s="38" t="s">
        <v>24</v>
      </c>
      <c r="F16" s="38" t="s">
        <v>48</v>
      </c>
      <c r="G16" s="38" t="s">
        <v>65</v>
      </c>
      <c r="H16" s="64">
        <v>110</v>
      </c>
      <c r="I16" s="35" t="s">
        <v>27</v>
      </c>
      <c r="J16" s="39">
        <v>47</v>
      </c>
      <c r="K16" s="35">
        <f>SUM(Table1[[#This Row],[In Interim Housing as of Reporting Date]:[In Permanent Housing  as of Reporting Date]])</f>
        <v>44</v>
      </c>
      <c r="L16" s="40">
        <f>VLOOKUP(Table1[[#This Row],[Location/Program]],Table2[],2,FALSE)</f>
        <v>27</v>
      </c>
      <c r="M16" s="40">
        <f>VLOOKUP(Table1[[#This Row],[Location/Program]],Table2[],3,FALSE)</f>
        <v>1</v>
      </c>
      <c r="N16" s="40">
        <f>VLOOKUP(Table1[[#This Row],[Location/Program]],Table2[],4,FALSE)</f>
        <v>0</v>
      </c>
      <c r="O16" s="40">
        <f>VLOOKUP(Table1[[#This Row],[Location/Program]],Table2[],5,FALSE)</f>
        <v>0</v>
      </c>
      <c r="P16" s="40">
        <f>VLOOKUP(Table1[[#This Row],[Location/Program]],Table2[],6,FALSE)</f>
        <v>0</v>
      </c>
      <c r="Q16" s="40">
        <f>VLOOKUP(Table1[[#This Row],[Location/Program]],Table2[],7,FALSE)</f>
        <v>9</v>
      </c>
      <c r="R16" s="40">
        <f>VLOOKUP(Table1[[#This Row],[Location/Program]],Table2[],8,FALSE)</f>
        <v>2</v>
      </c>
      <c r="S16" s="40">
        <f>VLOOKUP(Table1[[#This Row],[Location/Program]],Table2[],9,FALSE)</f>
        <v>5</v>
      </c>
      <c r="T16" s="53">
        <f>Table1[[#This Row],[In Permanent Housing  as of Reporting Date]]/SUM(S16,L16)</f>
        <v>0.15625</v>
      </c>
      <c r="U16" s="39">
        <v>3</v>
      </c>
      <c r="V16" s="39">
        <v>3</v>
      </c>
    </row>
    <row r="17" spans="1:22" ht="28.8" x14ac:dyDescent="0.3">
      <c r="A17" s="83" t="s">
        <v>66</v>
      </c>
      <c r="B17" s="82">
        <v>45364</v>
      </c>
      <c r="C17" s="82">
        <v>45364</v>
      </c>
      <c r="D17" s="38" t="s">
        <v>23</v>
      </c>
      <c r="E17" s="35" t="s">
        <v>35</v>
      </c>
      <c r="F17" s="38" t="s">
        <v>36</v>
      </c>
      <c r="G17" s="38" t="s">
        <v>48</v>
      </c>
      <c r="H17" s="64">
        <v>110</v>
      </c>
      <c r="I17" s="41" t="s">
        <v>27</v>
      </c>
      <c r="J17" s="69" t="s">
        <v>38</v>
      </c>
      <c r="K17" s="35">
        <f>SUM(Table1[[#This Row],[In Interim Housing as of Reporting Date]:[In Permanent Housing  as of Reporting Date]])</f>
        <v>1</v>
      </c>
      <c r="L17" s="40">
        <f>VLOOKUP(Table1[[#This Row],[Location/Program]],Table2[],2,FALSE)</f>
        <v>1</v>
      </c>
      <c r="M17" s="40">
        <f>VLOOKUP(Table1[[#This Row],[Location/Program]],Table2[],3,FALSE)</f>
        <v>0</v>
      </c>
      <c r="N17" s="40">
        <f>VLOOKUP(Table1[[#This Row],[Location/Program]],Table2[],4,FALSE)</f>
        <v>0</v>
      </c>
      <c r="O17" s="40">
        <f>VLOOKUP(Table1[[#This Row],[Location/Program]],Table2[],5,FALSE)</f>
        <v>0</v>
      </c>
      <c r="P17" s="40">
        <f>VLOOKUP(Table1[[#This Row],[Location/Program]],Table2[],6,FALSE)</f>
        <v>0</v>
      </c>
      <c r="Q17" s="40">
        <f>VLOOKUP(Table1[[#This Row],[Location/Program]],Table2[],7,FALSE)</f>
        <v>0</v>
      </c>
      <c r="R17" s="40">
        <f>VLOOKUP(Table1[[#This Row],[Location/Program]],Table2[],8,FALSE)</f>
        <v>0</v>
      </c>
      <c r="S17" s="40">
        <f>VLOOKUP(Table1[[#This Row],[Location/Program]],Table2[],9,FALSE)</f>
        <v>0</v>
      </c>
      <c r="T17" s="53">
        <f>Table1[[#This Row],[In Permanent Housing  as of Reporting Date]]/SUM(S17,L17)</f>
        <v>0</v>
      </c>
      <c r="U17" s="39">
        <v>2</v>
      </c>
      <c r="V17" s="39">
        <v>6</v>
      </c>
    </row>
    <row r="18" spans="1:22" x14ac:dyDescent="0.3">
      <c r="A18" s="45" t="s">
        <v>67</v>
      </c>
      <c r="B18" s="37">
        <v>44998</v>
      </c>
      <c r="C18" s="37">
        <v>45013</v>
      </c>
      <c r="D18" s="38" t="s">
        <v>23</v>
      </c>
      <c r="E18" s="38" t="s">
        <v>24</v>
      </c>
      <c r="F18" s="38" t="s">
        <v>68</v>
      </c>
      <c r="G18" s="38" t="s">
        <v>59</v>
      </c>
      <c r="H18" s="64">
        <v>110</v>
      </c>
      <c r="I18" s="35" t="s">
        <v>27</v>
      </c>
      <c r="J18" s="39">
        <v>175</v>
      </c>
      <c r="K18" s="35">
        <f>SUM(Table1[[#This Row],[In Interim Housing as of Reporting Date]:[In Permanent Housing  as of Reporting Date]])</f>
        <v>173</v>
      </c>
      <c r="L18" s="40">
        <f>VLOOKUP(Table1[[#This Row],[Location/Program]],Table2[],2,FALSE)</f>
        <v>72</v>
      </c>
      <c r="M18" s="40">
        <f>VLOOKUP(Table1[[#This Row],[Location/Program]],Table2[],3,FALSE)</f>
        <v>5</v>
      </c>
      <c r="N18" s="40">
        <f>VLOOKUP(Table1[[#This Row],[Location/Program]],Table2[],4,FALSE)</f>
        <v>3</v>
      </c>
      <c r="O18" s="40">
        <f>VLOOKUP(Table1[[#This Row],[Location/Program]],Table2[],5,FALSE)</f>
        <v>1</v>
      </c>
      <c r="P18" s="40">
        <f>VLOOKUP(Table1[[#This Row],[Location/Program]],Table2[],6,FALSE)</f>
        <v>0</v>
      </c>
      <c r="Q18" s="40">
        <f>VLOOKUP(Table1[[#This Row],[Location/Program]],Table2[],7,FALSE)</f>
        <v>35</v>
      </c>
      <c r="R18" s="40">
        <f>VLOOKUP(Table1[[#This Row],[Location/Program]],Table2[],8,FALSE)</f>
        <v>11</v>
      </c>
      <c r="S18" s="40">
        <f>VLOOKUP(Table1[[#This Row],[Location/Program]],Table2[],9,FALSE)</f>
        <v>46</v>
      </c>
      <c r="T18" s="53">
        <f>Table1[[#This Row],[In Permanent Housing  as of Reporting Date]]/SUM(S18,L18)</f>
        <v>0.38983050847457629</v>
      </c>
      <c r="U18" s="39">
        <v>14</v>
      </c>
      <c r="V18" s="39">
        <v>14</v>
      </c>
    </row>
    <row r="19" spans="1:22" x14ac:dyDescent="0.3">
      <c r="A19" s="45" t="s">
        <v>69</v>
      </c>
      <c r="B19" s="37">
        <v>44999</v>
      </c>
      <c r="C19" s="37">
        <v>45001</v>
      </c>
      <c r="D19" s="38" t="s">
        <v>23</v>
      </c>
      <c r="E19" s="38" t="s">
        <v>24</v>
      </c>
      <c r="F19" s="38" t="s">
        <v>70</v>
      </c>
      <c r="G19" s="38" t="s">
        <v>59</v>
      </c>
      <c r="H19" s="64">
        <v>110</v>
      </c>
      <c r="I19" s="35" t="s">
        <v>27</v>
      </c>
      <c r="J19" s="39">
        <v>64</v>
      </c>
      <c r="K19" s="35">
        <f>SUM(Table1[[#This Row],[In Interim Housing as of Reporting Date]:[In Permanent Housing  as of Reporting Date]])</f>
        <v>64</v>
      </c>
      <c r="L19" s="40">
        <f>VLOOKUP(Table1[[#This Row],[Location/Program]],Table2[],2,FALSE)</f>
        <v>33</v>
      </c>
      <c r="M19" s="40">
        <f>VLOOKUP(Table1[[#This Row],[Location/Program]],Table2[],3,FALSE)</f>
        <v>0</v>
      </c>
      <c r="N19" s="40">
        <f>VLOOKUP(Table1[[#This Row],[Location/Program]],Table2[],4,FALSE)</f>
        <v>2</v>
      </c>
      <c r="O19" s="40">
        <f>VLOOKUP(Table1[[#This Row],[Location/Program]],Table2[],5,FALSE)</f>
        <v>0</v>
      </c>
      <c r="P19" s="40">
        <f>VLOOKUP(Table1[[#This Row],[Location/Program]],Table2[],6,FALSE)</f>
        <v>0</v>
      </c>
      <c r="Q19" s="40">
        <f>VLOOKUP(Table1[[#This Row],[Location/Program]],Table2[],7,FALSE)</f>
        <v>11</v>
      </c>
      <c r="R19" s="40">
        <f>VLOOKUP(Table1[[#This Row],[Location/Program]],Table2[],8,FALSE)</f>
        <v>3</v>
      </c>
      <c r="S19" s="40">
        <f>VLOOKUP(Table1[[#This Row],[Location/Program]],Table2[],9,FALSE)</f>
        <v>15</v>
      </c>
      <c r="T19" s="53">
        <f>Table1[[#This Row],[In Permanent Housing  as of Reporting Date]]/SUM(S19,L19)</f>
        <v>0.3125</v>
      </c>
      <c r="U19" s="39">
        <v>13</v>
      </c>
      <c r="V19" s="39">
        <v>14</v>
      </c>
    </row>
    <row r="20" spans="1:22" x14ac:dyDescent="0.3">
      <c r="A20" s="83" t="s">
        <v>71</v>
      </c>
      <c r="B20" s="85">
        <v>44958</v>
      </c>
      <c r="C20" s="85">
        <v>44958</v>
      </c>
      <c r="D20" s="38" t="s">
        <v>23</v>
      </c>
      <c r="E20" s="38" t="s">
        <v>57</v>
      </c>
      <c r="F20" s="38" t="s">
        <v>72</v>
      </c>
      <c r="G20" s="38" t="s">
        <v>59</v>
      </c>
      <c r="H20" s="64">
        <v>110</v>
      </c>
      <c r="I20" s="35" t="s">
        <v>27</v>
      </c>
      <c r="J20" s="69" t="s">
        <v>38</v>
      </c>
      <c r="K20" s="35">
        <f>SUM(Table1[[#This Row],[In Interim Housing as of Reporting Date]:[In Permanent Housing  as of Reporting Date]])</f>
        <v>110</v>
      </c>
      <c r="L20" s="40">
        <f>VLOOKUP(Table1[[#This Row],[Location/Program]],Table2[],2,FALSE)</f>
        <v>44</v>
      </c>
      <c r="M20" s="40">
        <f>VLOOKUP(Table1[[#This Row],[Location/Program]],Table2[],3,FALSE)</f>
        <v>1</v>
      </c>
      <c r="N20" s="40">
        <f>VLOOKUP(Table1[[#This Row],[Location/Program]],Table2[],4,FALSE)</f>
        <v>2</v>
      </c>
      <c r="O20" s="40">
        <f>VLOOKUP(Table1[[#This Row],[Location/Program]],Table2[],5,FALSE)</f>
        <v>0</v>
      </c>
      <c r="P20" s="40">
        <f>VLOOKUP(Table1[[#This Row],[Location/Program]],Table2[],6,FALSE)</f>
        <v>0</v>
      </c>
      <c r="Q20" s="40">
        <f>VLOOKUP(Table1[[#This Row],[Location/Program]],Table2[],7,FALSE)</f>
        <v>15</v>
      </c>
      <c r="R20" s="40">
        <f>VLOOKUP(Table1[[#This Row],[Location/Program]],Table2[],8,FALSE)</f>
        <v>6</v>
      </c>
      <c r="S20" s="40">
        <f>VLOOKUP(Table1[[#This Row],[Location/Program]],Table2[],9,FALSE)</f>
        <v>42</v>
      </c>
      <c r="T20" s="53">
        <f>Table1[[#This Row],[In Permanent Housing  as of Reporting Date]]/SUM(S20,L20)</f>
        <v>0.48837209302325579</v>
      </c>
      <c r="U20" s="40">
        <v>14</v>
      </c>
      <c r="V20" s="39">
        <v>14</v>
      </c>
    </row>
    <row r="21" spans="1:22" ht="15.45" customHeight="1" x14ac:dyDescent="0.3">
      <c r="A21" s="83" t="s">
        <v>73</v>
      </c>
      <c r="B21" s="85">
        <v>45366</v>
      </c>
      <c r="C21" s="85">
        <v>45366</v>
      </c>
      <c r="D21" s="38" t="s">
        <v>23</v>
      </c>
      <c r="E21" s="38" t="s">
        <v>57</v>
      </c>
      <c r="F21" s="38" t="s">
        <v>72</v>
      </c>
      <c r="G21" s="38" t="s">
        <v>59</v>
      </c>
      <c r="H21" s="64">
        <v>110</v>
      </c>
      <c r="I21" s="35" t="s">
        <v>27</v>
      </c>
      <c r="J21" s="69" t="s">
        <v>38</v>
      </c>
      <c r="K21" s="35">
        <f>SUM(Table1[[#This Row],[In Interim Housing as of Reporting Date]:[In Permanent Housing  as of Reporting Date]])</f>
        <v>23</v>
      </c>
      <c r="L21" s="40">
        <f>VLOOKUP(Table1[[#This Row],[Location/Program]],Table2[],2,FALSE)</f>
        <v>16</v>
      </c>
      <c r="M21" s="40">
        <f>VLOOKUP(Table1[[#This Row],[Location/Program]],Table2[],3,FALSE)</f>
        <v>0</v>
      </c>
      <c r="N21" s="40">
        <f>VLOOKUP(Table1[[#This Row],[Location/Program]],Table2[],4,FALSE)</f>
        <v>0</v>
      </c>
      <c r="O21" s="40">
        <f>VLOOKUP(Table1[[#This Row],[Location/Program]],Table2[],5,FALSE)</f>
        <v>0</v>
      </c>
      <c r="P21" s="40">
        <f>VLOOKUP(Table1[[#This Row],[Location/Program]],Table2[],6,FALSE)</f>
        <v>0</v>
      </c>
      <c r="Q21" s="40">
        <f>VLOOKUP(Table1[[#This Row],[Location/Program]],Table2[],7,FALSE)</f>
        <v>4</v>
      </c>
      <c r="R21" s="40">
        <f>VLOOKUP(Table1[[#This Row],[Location/Program]],Table2[],8,FALSE)</f>
        <v>2</v>
      </c>
      <c r="S21" s="40">
        <f>VLOOKUP(Table1[[#This Row],[Location/Program]],Table2[],9,FALSE)</f>
        <v>1</v>
      </c>
      <c r="T21" s="53">
        <f>Table1[[#This Row],[In Permanent Housing  as of Reporting Date]]/SUM(S21,L21)</f>
        <v>5.8823529411764705E-2</v>
      </c>
      <c r="U21" s="39">
        <v>14</v>
      </c>
      <c r="V21" s="39">
        <v>14</v>
      </c>
    </row>
    <row r="22" spans="1:22" ht="15.45" customHeight="1" x14ac:dyDescent="0.3">
      <c r="A22" s="45" t="s">
        <v>74</v>
      </c>
      <c r="B22" s="37">
        <v>45035</v>
      </c>
      <c r="C22" s="37">
        <v>45037</v>
      </c>
      <c r="D22" s="38" t="s">
        <v>23</v>
      </c>
      <c r="E22" s="38" t="s">
        <v>24</v>
      </c>
      <c r="F22" s="38" t="s">
        <v>25</v>
      </c>
      <c r="G22" s="38" t="s">
        <v>59</v>
      </c>
      <c r="H22" s="64">
        <v>110</v>
      </c>
      <c r="I22" s="35" t="s">
        <v>27</v>
      </c>
      <c r="J22" s="39">
        <v>78</v>
      </c>
      <c r="K22" s="35">
        <f>SUM(Table1[[#This Row],[In Interim Housing as of Reporting Date]:[In Permanent Housing  as of Reporting Date]])</f>
        <v>77</v>
      </c>
      <c r="L22" s="40">
        <f>VLOOKUP(Table1[[#This Row],[Location/Program]],Table2[],2,FALSE)</f>
        <v>27</v>
      </c>
      <c r="M22" s="40">
        <f>VLOOKUP(Table1[[#This Row],[Location/Program]],Table2[],3,FALSE)</f>
        <v>2</v>
      </c>
      <c r="N22" s="40">
        <f>VLOOKUP(Table1[[#This Row],[Location/Program]],Table2[],4,FALSE)</f>
        <v>2</v>
      </c>
      <c r="O22" s="40">
        <f>VLOOKUP(Table1[[#This Row],[Location/Program]],Table2[],5,FALSE)</f>
        <v>0</v>
      </c>
      <c r="P22" s="40">
        <f>VLOOKUP(Table1[[#This Row],[Location/Program]],Table2[],6,FALSE)</f>
        <v>0</v>
      </c>
      <c r="Q22" s="40">
        <f>VLOOKUP(Table1[[#This Row],[Location/Program]],Table2[],7,FALSE)</f>
        <v>21</v>
      </c>
      <c r="R22" s="40">
        <f>VLOOKUP(Table1[[#This Row],[Location/Program]],Table2[],8,FALSE)</f>
        <v>8</v>
      </c>
      <c r="S22" s="40">
        <f>VLOOKUP(Table1[[#This Row],[Location/Program]],Table2[],9,FALSE)</f>
        <v>17</v>
      </c>
      <c r="T22" s="53">
        <f>Table1[[#This Row],[In Permanent Housing  as of Reporting Date]]/SUM(S22,L22)</f>
        <v>0.38636363636363635</v>
      </c>
      <c r="U22" s="39">
        <v>14</v>
      </c>
      <c r="V22" s="39">
        <v>14</v>
      </c>
    </row>
    <row r="23" spans="1:22" ht="15.45" customHeight="1" x14ac:dyDescent="0.3">
      <c r="A23" s="83" t="s">
        <v>75</v>
      </c>
      <c r="B23" s="85">
        <v>45366</v>
      </c>
      <c r="C23" s="85">
        <v>45366</v>
      </c>
      <c r="D23" s="38" t="s">
        <v>23</v>
      </c>
      <c r="E23" s="38" t="s">
        <v>57</v>
      </c>
      <c r="F23" s="38" t="s">
        <v>72</v>
      </c>
      <c r="G23" s="38" t="s">
        <v>59</v>
      </c>
      <c r="H23" s="64">
        <v>110</v>
      </c>
      <c r="I23" s="35" t="s">
        <v>27</v>
      </c>
      <c r="J23" s="69" t="s">
        <v>38</v>
      </c>
      <c r="K23" s="35">
        <f>SUM(Table1[[#This Row],[In Interim Housing as of Reporting Date]:[In Permanent Housing  as of Reporting Date]])</f>
        <v>249</v>
      </c>
      <c r="L23" s="40">
        <f>VLOOKUP(Table1[[#This Row],[Location/Program]],Table2[],2,FALSE)</f>
        <v>171</v>
      </c>
      <c r="M23" s="40">
        <f>VLOOKUP(Table1[[#This Row],[Location/Program]],Table2[],3,FALSE)</f>
        <v>2</v>
      </c>
      <c r="N23" s="40">
        <f>VLOOKUP(Table1[[#This Row],[Location/Program]],Table2[],4,FALSE)</f>
        <v>5</v>
      </c>
      <c r="O23" s="40">
        <f>VLOOKUP(Table1[[#This Row],[Location/Program]],Table2[],5,FALSE)</f>
        <v>2</v>
      </c>
      <c r="P23" s="40">
        <f>VLOOKUP(Table1[[#This Row],[Location/Program]],Table2[],6,FALSE)</f>
        <v>0</v>
      </c>
      <c r="Q23" s="40">
        <f>VLOOKUP(Table1[[#This Row],[Location/Program]],Table2[],7,FALSE)</f>
        <v>27</v>
      </c>
      <c r="R23" s="40">
        <f>VLOOKUP(Table1[[#This Row],[Location/Program]],Table2[],8,FALSE)</f>
        <v>24</v>
      </c>
      <c r="S23" s="40">
        <f>VLOOKUP(Table1[[#This Row],[Location/Program]],Table2[],9,FALSE)</f>
        <v>18</v>
      </c>
      <c r="T23" s="53">
        <f>Table1[[#This Row],[In Permanent Housing  as of Reporting Date]]/SUM(S23,L23)</f>
        <v>9.5238095238095233E-2</v>
      </c>
      <c r="U23" s="39">
        <v>14</v>
      </c>
      <c r="V23" s="39">
        <v>14</v>
      </c>
    </row>
    <row r="24" spans="1:22" ht="15.45" customHeight="1" x14ac:dyDescent="0.3">
      <c r="A24" s="55" t="s">
        <v>76</v>
      </c>
      <c r="B24" s="47">
        <v>45043</v>
      </c>
      <c r="C24" s="37">
        <v>45044</v>
      </c>
      <c r="D24" s="38" t="s">
        <v>23</v>
      </c>
      <c r="E24" s="38" t="s">
        <v>24</v>
      </c>
      <c r="F24" s="38" t="s">
        <v>41</v>
      </c>
      <c r="G24" s="38" t="s">
        <v>41</v>
      </c>
      <c r="H24" s="64">
        <v>110</v>
      </c>
      <c r="I24" s="35" t="s">
        <v>27</v>
      </c>
      <c r="J24" s="39">
        <v>50</v>
      </c>
      <c r="K24" s="35">
        <f>SUM(Table1[[#This Row],[In Interim Housing as of Reporting Date]:[In Permanent Housing  as of Reporting Date]])</f>
        <v>42</v>
      </c>
      <c r="L24" s="40">
        <f>VLOOKUP(Table1[[#This Row],[Location/Program]],Table2[],2,FALSE)</f>
        <v>11</v>
      </c>
      <c r="M24" s="40">
        <f>VLOOKUP(Table1[[#This Row],[Location/Program]],Table2[],3,FALSE)</f>
        <v>1</v>
      </c>
      <c r="N24" s="40">
        <f>VLOOKUP(Table1[[#This Row],[Location/Program]],Table2[],4,FALSE)</f>
        <v>1</v>
      </c>
      <c r="O24" s="40">
        <f>VLOOKUP(Table1[[#This Row],[Location/Program]],Table2[],5,FALSE)</f>
        <v>1</v>
      </c>
      <c r="P24" s="40">
        <f>VLOOKUP(Table1[[#This Row],[Location/Program]],Table2[],6,FALSE)</f>
        <v>0</v>
      </c>
      <c r="Q24" s="40">
        <f>VLOOKUP(Table1[[#This Row],[Location/Program]],Table2[],7,FALSE)</f>
        <v>3</v>
      </c>
      <c r="R24" s="40">
        <f>VLOOKUP(Table1[[#This Row],[Location/Program]],Table2[],8,FALSE)</f>
        <v>3</v>
      </c>
      <c r="S24" s="40">
        <f>VLOOKUP(Table1[[#This Row],[Location/Program]],Table2[],9,FALSE)</f>
        <v>22</v>
      </c>
      <c r="T24" s="53">
        <f>Table1[[#This Row],[In Permanent Housing  as of Reporting Date]]/SUM(S24,L24)</f>
        <v>0.66666666666666663</v>
      </c>
      <c r="U24" s="39">
        <v>9</v>
      </c>
      <c r="V24" s="39" t="s">
        <v>42</v>
      </c>
    </row>
    <row r="25" spans="1:22" x14ac:dyDescent="0.3">
      <c r="A25" s="45" t="s">
        <v>77</v>
      </c>
      <c r="B25" s="37">
        <v>45056</v>
      </c>
      <c r="C25" s="37">
        <v>45057</v>
      </c>
      <c r="D25" s="38" t="s">
        <v>23</v>
      </c>
      <c r="E25" s="38" t="s">
        <v>24</v>
      </c>
      <c r="F25" s="38" t="s">
        <v>25</v>
      </c>
      <c r="G25" s="38" t="s">
        <v>30</v>
      </c>
      <c r="H25" s="64">
        <v>110</v>
      </c>
      <c r="I25" s="35" t="s">
        <v>27</v>
      </c>
      <c r="J25" s="39">
        <v>27</v>
      </c>
      <c r="K25" s="35">
        <f>SUM(Table1[[#This Row],[In Interim Housing as of Reporting Date]:[In Permanent Housing  as of Reporting Date]])</f>
        <v>27</v>
      </c>
      <c r="L25" s="40">
        <f>VLOOKUP(Table1[[#This Row],[Location/Program]],Table2[],2,FALSE)</f>
        <v>15</v>
      </c>
      <c r="M25" s="40">
        <f>VLOOKUP(Table1[[#This Row],[Location/Program]],Table2[],3,FALSE)</f>
        <v>1</v>
      </c>
      <c r="N25" s="40">
        <f>VLOOKUP(Table1[[#This Row],[Location/Program]],Table2[],4,FALSE)</f>
        <v>0</v>
      </c>
      <c r="O25" s="40">
        <f>VLOOKUP(Table1[[#This Row],[Location/Program]],Table2[],5,FALSE)</f>
        <v>0</v>
      </c>
      <c r="P25" s="40">
        <f>VLOOKUP(Table1[[#This Row],[Location/Program]],Table2[],6,FALSE)</f>
        <v>0</v>
      </c>
      <c r="Q25" s="40">
        <f>VLOOKUP(Table1[[#This Row],[Location/Program]],Table2[],7,FALSE)</f>
        <v>4</v>
      </c>
      <c r="R25" s="40">
        <f>VLOOKUP(Table1[[#This Row],[Location/Program]],Table2[],8,FALSE)</f>
        <v>3</v>
      </c>
      <c r="S25" s="40">
        <f>VLOOKUP(Table1[[#This Row],[Location/Program]],Table2[],9,FALSE)</f>
        <v>4</v>
      </c>
      <c r="T25" s="53">
        <f>Table1[[#This Row],[In Permanent Housing  as of Reporting Date]]/SUM(S25,L25)</f>
        <v>0.21052631578947367</v>
      </c>
      <c r="U25" s="39">
        <v>5</v>
      </c>
      <c r="V25" s="39">
        <v>8</v>
      </c>
    </row>
    <row r="26" spans="1:22" x14ac:dyDescent="0.3">
      <c r="A26" s="83" t="s">
        <v>78</v>
      </c>
      <c r="B26" s="85">
        <v>44987</v>
      </c>
      <c r="C26" s="85">
        <v>44987</v>
      </c>
      <c r="D26" s="38" t="s">
        <v>23</v>
      </c>
      <c r="E26" s="38" t="s">
        <v>57</v>
      </c>
      <c r="F26" s="38" t="s">
        <v>63</v>
      </c>
      <c r="G26" s="38" t="s">
        <v>59</v>
      </c>
      <c r="H26" s="64">
        <v>110</v>
      </c>
      <c r="I26" s="35" t="s">
        <v>27</v>
      </c>
      <c r="J26" s="69" t="s">
        <v>38</v>
      </c>
      <c r="K26" s="35">
        <f>SUM(Table1[[#This Row],[In Interim Housing as of Reporting Date]:[In Permanent Housing  as of Reporting Date]])</f>
        <v>78</v>
      </c>
      <c r="L26" s="40">
        <f>VLOOKUP(Table1[[#This Row],[Location/Program]],Table2[],2,FALSE)</f>
        <v>24</v>
      </c>
      <c r="M26" s="40">
        <f>VLOOKUP(Table1[[#This Row],[Location/Program]],Table2[],3,FALSE)</f>
        <v>0</v>
      </c>
      <c r="N26" s="40">
        <f>VLOOKUP(Table1[[#This Row],[Location/Program]],Table2[],4,FALSE)</f>
        <v>1</v>
      </c>
      <c r="O26" s="40">
        <f>VLOOKUP(Table1[[#This Row],[Location/Program]],Table2[],5,FALSE)</f>
        <v>1</v>
      </c>
      <c r="P26" s="40">
        <f>VLOOKUP(Table1[[#This Row],[Location/Program]],Table2[],6,FALSE)</f>
        <v>0</v>
      </c>
      <c r="Q26" s="40">
        <f>VLOOKUP(Table1[[#This Row],[Location/Program]],Table2[],7,FALSE)</f>
        <v>33</v>
      </c>
      <c r="R26" s="40">
        <f>VLOOKUP(Table1[[#This Row],[Location/Program]],Table2[],8,FALSE)</f>
        <v>9</v>
      </c>
      <c r="S26" s="40">
        <f>VLOOKUP(Table1[[#This Row],[Location/Program]],Table2[],9,FALSE)</f>
        <v>10</v>
      </c>
      <c r="T26" s="53">
        <f>Table1[[#This Row],[In Permanent Housing  as of Reporting Date]]/SUM(S26,L26)</f>
        <v>0.29411764705882354</v>
      </c>
      <c r="U26" s="39" t="s">
        <v>79</v>
      </c>
      <c r="V26" s="39">
        <v>14</v>
      </c>
    </row>
    <row r="27" spans="1:22" ht="43.2" x14ac:dyDescent="0.3">
      <c r="A27" s="83" t="s">
        <v>80</v>
      </c>
      <c r="B27" s="85">
        <v>44987</v>
      </c>
      <c r="C27" s="85">
        <v>45004</v>
      </c>
      <c r="D27" s="38" t="s">
        <v>23</v>
      </c>
      <c r="E27" s="38" t="s">
        <v>57</v>
      </c>
      <c r="F27" s="42" t="s">
        <v>81</v>
      </c>
      <c r="G27" s="38" t="s">
        <v>82</v>
      </c>
      <c r="H27" s="64">
        <v>110</v>
      </c>
      <c r="I27" s="35" t="s">
        <v>27</v>
      </c>
      <c r="J27" s="69" t="s">
        <v>38</v>
      </c>
      <c r="K27" s="35">
        <f>SUM(Table1[[#This Row],[In Interim Housing as of Reporting Date]:[In Permanent Housing  as of Reporting Date]])</f>
        <v>31</v>
      </c>
      <c r="L27" s="40">
        <f>VLOOKUP(Table1[[#This Row],[Location/Program]],Table2[],2,FALSE)</f>
        <v>8</v>
      </c>
      <c r="M27" s="40">
        <f>VLOOKUP(Table1[[#This Row],[Location/Program]],Table2[],3,FALSE)</f>
        <v>1</v>
      </c>
      <c r="N27" s="40">
        <f>VLOOKUP(Table1[[#This Row],[Location/Program]],Table2[],4,FALSE)</f>
        <v>0</v>
      </c>
      <c r="O27" s="40">
        <f>VLOOKUP(Table1[[#This Row],[Location/Program]],Table2[],5,FALSE)</f>
        <v>0</v>
      </c>
      <c r="P27" s="40">
        <f>VLOOKUP(Table1[[#This Row],[Location/Program]],Table2[],6,FALSE)</f>
        <v>0</v>
      </c>
      <c r="Q27" s="40">
        <f>VLOOKUP(Table1[[#This Row],[Location/Program]],Table2[],7,FALSE)</f>
        <v>12</v>
      </c>
      <c r="R27" s="40">
        <f>VLOOKUP(Table1[[#This Row],[Location/Program]],Table2[],8,FALSE)</f>
        <v>1</v>
      </c>
      <c r="S27" s="40">
        <f>VLOOKUP(Table1[[#This Row],[Location/Program]],Table2[],9,FALSE)</f>
        <v>9</v>
      </c>
      <c r="T27" s="53">
        <f>Table1[[#This Row],[In Permanent Housing  as of Reporting Date]]/SUM(S27,L27)</f>
        <v>0.52941176470588236</v>
      </c>
      <c r="U27" s="39" t="s">
        <v>79</v>
      </c>
      <c r="V27" s="39" t="s">
        <v>83</v>
      </c>
    </row>
    <row r="28" spans="1:22" x14ac:dyDescent="0.3">
      <c r="A28" s="45" t="s">
        <v>84</v>
      </c>
      <c r="B28" s="37">
        <v>45062</v>
      </c>
      <c r="C28" s="37">
        <v>45062</v>
      </c>
      <c r="D28" s="38" t="s">
        <v>23</v>
      </c>
      <c r="E28" s="38" t="s">
        <v>24</v>
      </c>
      <c r="F28" s="38" t="s">
        <v>41</v>
      </c>
      <c r="G28" s="38" t="s">
        <v>41</v>
      </c>
      <c r="H28" s="64">
        <v>110</v>
      </c>
      <c r="I28" s="35" t="s">
        <v>27</v>
      </c>
      <c r="J28" s="39">
        <v>54</v>
      </c>
      <c r="K28" s="35">
        <f>SUM(Table1[[#This Row],[In Interim Housing as of Reporting Date]:[In Permanent Housing  as of Reporting Date]])</f>
        <v>51</v>
      </c>
      <c r="L28" s="40">
        <f>VLOOKUP(Table1[[#This Row],[Location/Program]],Table2[],2,FALSE)</f>
        <v>18</v>
      </c>
      <c r="M28" s="40">
        <f>VLOOKUP(Table1[[#This Row],[Location/Program]],Table2[],3,FALSE)</f>
        <v>0</v>
      </c>
      <c r="N28" s="40">
        <f>VLOOKUP(Table1[[#This Row],[Location/Program]],Table2[],4,FALSE)</f>
        <v>1</v>
      </c>
      <c r="O28" s="40">
        <f>VLOOKUP(Table1[[#This Row],[Location/Program]],Table2[],5,FALSE)</f>
        <v>0</v>
      </c>
      <c r="P28" s="40">
        <f>VLOOKUP(Table1[[#This Row],[Location/Program]],Table2[],6,FALSE)</f>
        <v>0</v>
      </c>
      <c r="Q28" s="40">
        <f>VLOOKUP(Table1[[#This Row],[Location/Program]],Table2[],7,FALSE)</f>
        <v>6</v>
      </c>
      <c r="R28" s="40">
        <f>VLOOKUP(Table1[[#This Row],[Location/Program]],Table2[],8,FALSE)</f>
        <v>1</v>
      </c>
      <c r="S28" s="40">
        <f>VLOOKUP(Table1[[#This Row],[Location/Program]],Table2[],9,FALSE)</f>
        <v>25</v>
      </c>
      <c r="T28" s="53">
        <f>Table1[[#This Row],[In Permanent Housing  as of Reporting Date]]/SUM(S28,L28)</f>
        <v>0.58139534883720934</v>
      </c>
      <c r="U28" s="39">
        <v>9</v>
      </c>
      <c r="V28" s="39">
        <v>9</v>
      </c>
    </row>
    <row r="29" spans="1:22" ht="43.2" x14ac:dyDescent="0.3">
      <c r="A29" s="83" t="s">
        <v>85</v>
      </c>
      <c r="B29" s="85">
        <v>44987</v>
      </c>
      <c r="C29" s="85">
        <v>45004</v>
      </c>
      <c r="D29" s="38" t="s">
        <v>23</v>
      </c>
      <c r="E29" s="38" t="s">
        <v>57</v>
      </c>
      <c r="F29" s="42" t="s">
        <v>81</v>
      </c>
      <c r="G29" s="38" t="s">
        <v>82</v>
      </c>
      <c r="H29" s="64">
        <v>110</v>
      </c>
      <c r="I29" s="35" t="s">
        <v>27</v>
      </c>
      <c r="J29" s="69" t="s">
        <v>38</v>
      </c>
      <c r="K29" s="35">
        <f>SUM(Table1[[#This Row],[In Interim Housing as of Reporting Date]:[In Permanent Housing  as of Reporting Date]])</f>
        <v>42</v>
      </c>
      <c r="L29" s="40">
        <f>VLOOKUP(Table1[[#This Row],[Location/Program]],Table2[],2,FALSE)</f>
        <v>11</v>
      </c>
      <c r="M29" s="40">
        <f>VLOOKUP(Table1[[#This Row],[Location/Program]],Table2[],3,FALSE)</f>
        <v>0</v>
      </c>
      <c r="N29" s="40">
        <f>VLOOKUP(Table1[[#This Row],[Location/Program]],Table2[],4,FALSE)</f>
        <v>1</v>
      </c>
      <c r="O29" s="40">
        <f>VLOOKUP(Table1[[#This Row],[Location/Program]],Table2[],5,FALSE)</f>
        <v>0</v>
      </c>
      <c r="P29" s="40">
        <f>VLOOKUP(Table1[[#This Row],[Location/Program]],Table2[],6,FALSE)</f>
        <v>0</v>
      </c>
      <c r="Q29" s="40">
        <f>VLOOKUP(Table1[[#This Row],[Location/Program]],Table2[],7,FALSE)</f>
        <v>9</v>
      </c>
      <c r="R29" s="40">
        <f>VLOOKUP(Table1[[#This Row],[Location/Program]],Table2[],8,FALSE)</f>
        <v>4</v>
      </c>
      <c r="S29" s="40">
        <f>VLOOKUP(Table1[[#This Row],[Location/Program]],Table2[],9,FALSE)</f>
        <v>17</v>
      </c>
      <c r="T29" s="53">
        <f>Table1[[#This Row],[In Permanent Housing  as of Reporting Date]]/SUM(S29,L29)</f>
        <v>0.6071428571428571</v>
      </c>
      <c r="U29" s="39" t="s">
        <v>79</v>
      </c>
      <c r="V29" s="39" t="s">
        <v>86</v>
      </c>
    </row>
    <row r="30" spans="1:22" ht="28.8" x14ac:dyDescent="0.3">
      <c r="A30" s="45" t="s">
        <v>87</v>
      </c>
      <c r="B30" s="37">
        <v>45077</v>
      </c>
      <c r="C30" s="37">
        <v>45078</v>
      </c>
      <c r="D30" s="38" t="s">
        <v>23</v>
      </c>
      <c r="E30" s="38" t="s">
        <v>24</v>
      </c>
      <c r="F30" s="38" t="s">
        <v>88</v>
      </c>
      <c r="G30" s="38" t="s">
        <v>88</v>
      </c>
      <c r="H30" s="64">
        <v>110</v>
      </c>
      <c r="I30" s="35" t="s">
        <v>27</v>
      </c>
      <c r="J30" s="39">
        <v>68</v>
      </c>
      <c r="K30" s="35">
        <f>SUM(Table1[[#This Row],[In Interim Housing as of Reporting Date]:[In Permanent Housing  as of Reporting Date]])</f>
        <v>68</v>
      </c>
      <c r="L30" s="40">
        <f>VLOOKUP(Table1[[#This Row],[Location/Program]],Table2[],2,FALSE)</f>
        <v>18</v>
      </c>
      <c r="M30" s="40">
        <f>VLOOKUP(Table1[[#This Row],[Location/Program]],Table2[],3,FALSE)</f>
        <v>1</v>
      </c>
      <c r="N30" s="40">
        <f>VLOOKUP(Table1[[#This Row],[Location/Program]],Table2[],4,FALSE)</f>
        <v>1</v>
      </c>
      <c r="O30" s="40">
        <f>VLOOKUP(Table1[[#This Row],[Location/Program]],Table2[],5,FALSE)</f>
        <v>0</v>
      </c>
      <c r="P30" s="40">
        <f>VLOOKUP(Table1[[#This Row],[Location/Program]],Table2[],6,FALSE)</f>
        <v>0</v>
      </c>
      <c r="Q30" s="40">
        <f>VLOOKUP(Table1[[#This Row],[Location/Program]],Table2[],7,FALSE)</f>
        <v>11</v>
      </c>
      <c r="R30" s="40">
        <f>VLOOKUP(Table1[[#This Row],[Location/Program]],Table2[],8,FALSE)</f>
        <v>4</v>
      </c>
      <c r="S30" s="40">
        <f>VLOOKUP(Table1[[#This Row],[Location/Program]],Table2[],9,FALSE)</f>
        <v>33</v>
      </c>
      <c r="T30" s="53">
        <f>Table1[[#This Row],[In Permanent Housing  as of Reporting Date]]/SUM(S30,L30)</f>
        <v>0.6470588235294118</v>
      </c>
      <c r="U30" s="39">
        <v>15</v>
      </c>
      <c r="V30" s="39" t="s">
        <v>89</v>
      </c>
    </row>
    <row r="31" spans="1:22" ht="43.2" x14ac:dyDescent="0.3">
      <c r="A31" s="83" t="s">
        <v>90</v>
      </c>
      <c r="B31" s="85">
        <v>44987</v>
      </c>
      <c r="C31" s="85">
        <v>45004</v>
      </c>
      <c r="D31" s="38" t="s">
        <v>23</v>
      </c>
      <c r="E31" s="38" t="s">
        <v>57</v>
      </c>
      <c r="F31" s="38" t="s">
        <v>81</v>
      </c>
      <c r="G31" s="38" t="s">
        <v>82</v>
      </c>
      <c r="H31" s="64">
        <v>110</v>
      </c>
      <c r="I31" s="35" t="s">
        <v>27</v>
      </c>
      <c r="J31" s="69" t="s">
        <v>38</v>
      </c>
      <c r="K31" s="35">
        <f>SUM(Table1[[#This Row],[In Interim Housing as of Reporting Date]:[In Permanent Housing  as of Reporting Date]])</f>
        <v>57</v>
      </c>
      <c r="L31" s="40">
        <f>VLOOKUP(Table1[[#This Row],[Location/Program]],Table2[],2,FALSE)</f>
        <v>29</v>
      </c>
      <c r="M31" s="40">
        <f>VLOOKUP(Table1[[#This Row],[Location/Program]],Table2[],3,FALSE)</f>
        <v>1</v>
      </c>
      <c r="N31" s="40">
        <f>VLOOKUP(Table1[[#This Row],[Location/Program]],Table2[],4,FALSE)</f>
        <v>2</v>
      </c>
      <c r="O31" s="40">
        <f>VLOOKUP(Table1[[#This Row],[Location/Program]],Table2[],5,FALSE)</f>
        <v>0</v>
      </c>
      <c r="P31" s="40">
        <f>VLOOKUP(Table1[[#This Row],[Location/Program]],Table2[],6,FALSE)</f>
        <v>0</v>
      </c>
      <c r="Q31" s="40">
        <f>VLOOKUP(Table1[[#This Row],[Location/Program]],Table2[],7,FALSE)</f>
        <v>12</v>
      </c>
      <c r="R31" s="40">
        <f>VLOOKUP(Table1[[#This Row],[Location/Program]],Table2[],8,FALSE)</f>
        <v>8</v>
      </c>
      <c r="S31" s="40">
        <f>VLOOKUP(Table1[[#This Row],[Location/Program]],Table2[],9,FALSE)</f>
        <v>5</v>
      </c>
      <c r="T31" s="53">
        <f>Table1[[#This Row],[In Permanent Housing  as of Reporting Date]]/SUM(S31,L31)</f>
        <v>0.14705882352941177</v>
      </c>
      <c r="U31" s="39" t="s">
        <v>91</v>
      </c>
      <c r="V31" s="39" t="s">
        <v>86</v>
      </c>
    </row>
    <row r="32" spans="1:22" x14ac:dyDescent="0.3">
      <c r="A32" s="45" t="s">
        <v>92</v>
      </c>
      <c r="B32" s="37">
        <v>45083</v>
      </c>
      <c r="C32" s="37">
        <v>45083</v>
      </c>
      <c r="D32" s="38" t="s">
        <v>23</v>
      </c>
      <c r="E32" s="38" t="s">
        <v>24</v>
      </c>
      <c r="F32" s="38" t="s">
        <v>25</v>
      </c>
      <c r="G32" s="38" t="s">
        <v>25</v>
      </c>
      <c r="H32" s="64">
        <v>110</v>
      </c>
      <c r="I32" s="35" t="s">
        <v>27</v>
      </c>
      <c r="J32" s="39">
        <v>33</v>
      </c>
      <c r="K32" s="35">
        <f>SUM(Table1[[#This Row],[In Interim Housing as of Reporting Date]:[In Permanent Housing  as of Reporting Date]])</f>
        <v>33</v>
      </c>
      <c r="L32" s="40">
        <f>VLOOKUP(Table1[[#This Row],[Location/Program]],Table2[],2,FALSE)</f>
        <v>18</v>
      </c>
      <c r="M32" s="40">
        <f>VLOOKUP(Table1[[#This Row],[Location/Program]],Table2[],3,FALSE)</f>
        <v>0</v>
      </c>
      <c r="N32" s="40">
        <f>VLOOKUP(Table1[[#This Row],[Location/Program]],Table2[],4,FALSE)</f>
        <v>0</v>
      </c>
      <c r="O32" s="40">
        <f>VLOOKUP(Table1[[#This Row],[Location/Program]],Table2[],5,FALSE)</f>
        <v>0</v>
      </c>
      <c r="P32" s="40">
        <f>VLOOKUP(Table1[[#This Row],[Location/Program]],Table2[],6,FALSE)</f>
        <v>1</v>
      </c>
      <c r="Q32" s="40">
        <f>VLOOKUP(Table1[[#This Row],[Location/Program]],Table2[],7,FALSE)</f>
        <v>3</v>
      </c>
      <c r="R32" s="40">
        <f>VLOOKUP(Table1[[#This Row],[Location/Program]],Table2[],8,FALSE)</f>
        <v>2</v>
      </c>
      <c r="S32" s="40">
        <f>VLOOKUP(Table1[[#This Row],[Location/Program]],Table2[],9,FALSE)</f>
        <v>9</v>
      </c>
      <c r="T32" s="53">
        <f>Table1[[#This Row],[In Permanent Housing  as of Reporting Date]]/SUM(S32,L32)</f>
        <v>0.33333333333333331</v>
      </c>
      <c r="U32" s="39">
        <v>13</v>
      </c>
      <c r="V32" s="39" t="s">
        <v>93</v>
      </c>
    </row>
    <row r="33" spans="1:22" s="17" customFormat="1" x14ac:dyDescent="0.3">
      <c r="A33" s="45" t="s">
        <v>94</v>
      </c>
      <c r="B33" s="37">
        <v>45090</v>
      </c>
      <c r="C33" s="37">
        <v>45091</v>
      </c>
      <c r="D33" s="38" t="s">
        <v>23</v>
      </c>
      <c r="E33" s="38" t="s">
        <v>24</v>
      </c>
      <c r="F33" s="38" t="s">
        <v>48</v>
      </c>
      <c r="G33" s="38" t="s">
        <v>65</v>
      </c>
      <c r="H33" s="64">
        <v>110</v>
      </c>
      <c r="I33" s="35" t="s">
        <v>27</v>
      </c>
      <c r="J33" s="39">
        <v>52</v>
      </c>
      <c r="K33" s="35">
        <f>SUM(Table1[[#This Row],[In Interim Housing as of Reporting Date]:[In Permanent Housing  as of Reporting Date]])</f>
        <v>56</v>
      </c>
      <c r="L33" s="40">
        <f>VLOOKUP(Table1[[#This Row],[Location/Program]],Table2[],2,FALSE)</f>
        <v>33</v>
      </c>
      <c r="M33" s="40">
        <f>VLOOKUP(Table1[[#This Row],[Location/Program]],Table2[],3,FALSE)</f>
        <v>2</v>
      </c>
      <c r="N33" s="40">
        <f>VLOOKUP(Table1[[#This Row],[Location/Program]],Table2[],4,FALSE)</f>
        <v>0</v>
      </c>
      <c r="O33" s="40">
        <f>VLOOKUP(Table1[[#This Row],[Location/Program]],Table2[],5,FALSE)</f>
        <v>0</v>
      </c>
      <c r="P33" s="40">
        <f>VLOOKUP(Table1[[#This Row],[Location/Program]],Table2[],6,FALSE)</f>
        <v>0</v>
      </c>
      <c r="Q33" s="40">
        <f>VLOOKUP(Table1[[#This Row],[Location/Program]],Table2[],7,FALSE)</f>
        <v>9</v>
      </c>
      <c r="R33" s="40">
        <f>VLOOKUP(Table1[[#This Row],[Location/Program]],Table2[],8,FALSE)</f>
        <v>5</v>
      </c>
      <c r="S33" s="40">
        <f>VLOOKUP(Table1[[#This Row],[Location/Program]],Table2[],9,FALSE)</f>
        <v>7</v>
      </c>
      <c r="T33" s="53">
        <f>Table1[[#This Row],[In Permanent Housing  as of Reporting Date]]/SUM(S33,L33)</f>
        <v>0.17499999999999999</v>
      </c>
      <c r="U33" s="39">
        <v>12</v>
      </c>
      <c r="V33" s="39">
        <v>12</v>
      </c>
    </row>
    <row r="34" spans="1:22" x14ac:dyDescent="0.3">
      <c r="A34" s="45" t="s">
        <v>95</v>
      </c>
      <c r="B34" s="37">
        <v>45106</v>
      </c>
      <c r="C34" s="37">
        <v>45106</v>
      </c>
      <c r="D34" s="38" t="s">
        <v>23</v>
      </c>
      <c r="E34" s="38" t="s">
        <v>24</v>
      </c>
      <c r="F34" s="38" t="s">
        <v>41</v>
      </c>
      <c r="G34" s="38" t="s">
        <v>41</v>
      </c>
      <c r="H34" s="64">
        <v>110</v>
      </c>
      <c r="I34" s="35" t="s">
        <v>27</v>
      </c>
      <c r="J34" s="39">
        <v>42</v>
      </c>
      <c r="K34" s="35">
        <f>SUM(Table1[[#This Row],[In Interim Housing as of Reporting Date]:[In Permanent Housing  as of Reporting Date]])</f>
        <v>41</v>
      </c>
      <c r="L34" s="40">
        <f>VLOOKUP(Table1[[#This Row],[Location/Program]],Table2[],2,FALSE)</f>
        <v>25</v>
      </c>
      <c r="M34" s="40">
        <f>VLOOKUP(Table1[[#This Row],[Location/Program]],Table2[],3,FALSE)</f>
        <v>1</v>
      </c>
      <c r="N34" s="40">
        <f>VLOOKUP(Table1[[#This Row],[Location/Program]],Table2[],4,FALSE)</f>
        <v>1</v>
      </c>
      <c r="O34" s="40">
        <f>VLOOKUP(Table1[[#This Row],[Location/Program]],Table2[],5,FALSE)</f>
        <v>0</v>
      </c>
      <c r="P34" s="40">
        <f>VLOOKUP(Table1[[#This Row],[Location/Program]],Table2[],6,FALSE)</f>
        <v>0</v>
      </c>
      <c r="Q34" s="40">
        <f>VLOOKUP(Table1[[#This Row],[Location/Program]],Table2[],7,FALSE)</f>
        <v>3</v>
      </c>
      <c r="R34" s="40">
        <f>VLOOKUP(Table1[[#This Row],[Location/Program]],Table2[],8,FALSE)</f>
        <v>0</v>
      </c>
      <c r="S34" s="40">
        <f>VLOOKUP(Table1[[#This Row],[Location/Program]],Table2[],9,FALSE)</f>
        <v>11</v>
      </c>
      <c r="T34" s="53">
        <f>Table1[[#This Row],[In Permanent Housing  as of Reporting Date]]/SUM(S34,L34)</f>
        <v>0.30555555555555558</v>
      </c>
      <c r="U34" s="39">
        <v>10</v>
      </c>
      <c r="V34" s="39" t="s">
        <v>96</v>
      </c>
    </row>
    <row r="35" spans="1:22" ht="28.8" x14ac:dyDescent="0.3">
      <c r="A35" s="45" t="s">
        <v>97</v>
      </c>
      <c r="B35" s="37">
        <v>45113</v>
      </c>
      <c r="C35" s="37">
        <v>45114</v>
      </c>
      <c r="D35" s="38" t="s">
        <v>23</v>
      </c>
      <c r="E35" s="38" t="s">
        <v>24</v>
      </c>
      <c r="F35" s="38" t="s">
        <v>48</v>
      </c>
      <c r="G35" s="38" t="s">
        <v>48</v>
      </c>
      <c r="H35" s="64">
        <v>110</v>
      </c>
      <c r="I35" s="35" t="s">
        <v>27</v>
      </c>
      <c r="J35" s="39">
        <v>48</v>
      </c>
      <c r="K35" s="35">
        <f>SUM(Table1[[#This Row],[In Interim Housing as of Reporting Date]:[In Permanent Housing  as of Reporting Date]])</f>
        <v>50</v>
      </c>
      <c r="L35" s="40">
        <f>VLOOKUP(Table1[[#This Row],[Location/Program]],Table2[],2,FALSE)</f>
        <v>26</v>
      </c>
      <c r="M35" s="40">
        <f>VLOOKUP(Table1[[#This Row],[Location/Program]],Table2[],3,FALSE)</f>
        <v>3</v>
      </c>
      <c r="N35" s="40">
        <f>VLOOKUP(Table1[[#This Row],[Location/Program]],Table2[],4,FALSE)</f>
        <v>0</v>
      </c>
      <c r="O35" s="40">
        <f>VLOOKUP(Table1[[#This Row],[Location/Program]],Table2[],5,FALSE)</f>
        <v>1</v>
      </c>
      <c r="P35" s="40">
        <f>VLOOKUP(Table1[[#This Row],[Location/Program]],Table2[],6,FALSE)</f>
        <v>0</v>
      </c>
      <c r="Q35" s="40">
        <f>VLOOKUP(Table1[[#This Row],[Location/Program]],Table2[],7,FALSE)</f>
        <v>8</v>
      </c>
      <c r="R35" s="40">
        <f>VLOOKUP(Table1[[#This Row],[Location/Program]],Table2[],8,FALSE)</f>
        <v>3</v>
      </c>
      <c r="S35" s="40">
        <f>VLOOKUP(Table1[[#This Row],[Location/Program]],Table2[],9,FALSE)</f>
        <v>9</v>
      </c>
      <c r="T35" s="53">
        <f>Table1[[#This Row],[In Permanent Housing  as of Reporting Date]]/SUM(S35,L35)</f>
        <v>0.25714285714285712</v>
      </c>
      <c r="U35" s="39">
        <v>7</v>
      </c>
      <c r="V35" s="39">
        <v>12</v>
      </c>
    </row>
    <row r="36" spans="1:22" x14ac:dyDescent="0.3">
      <c r="A36" s="45" t="s">
        <v>98</v>
      </c>
      <c r="B36" s="37">
        <v>45134</v>
      </c>
      <c r="C36" s="37">
        <v>45134</v>
      </c>
      <c r="D36" s="38" t="s">
        <v>23</v>
      </c>
      <c r="E36" s="38" t="s">
        <v>24</v>
      </c>
      <c r="F36" s="38" t="s">
        <v>41</v>
      </c>
      <c r="G36" s="38" t="s">
        <v>99</v>
      </c>
      <c r="H36" s="64">
        <v>110</v>
      </c>
      <c r="I36" s="35" t="s">
        <v>27</v>
      </c>
      <c r="J36" s="39">
        <v>25</v>
      </c>
      <c r="K36" s="35">
        <f>SUM(Table1[[#This Row],[In Interim Housing as of Reporting Date]:[In Permanent Housing  as of Reporting Date]])</f>
        <v>42</v>
      </c>
      <c r="L36" s="40">
        <f>VLOOKUP(Table1[[#This Row],[Location/Program]],Table2[],2,FALSE)</f>
        <v>8</v>
      </c>
      <c r="M36" s="40">
        <f>VLOOKUP(Table1[[#This Row],[Location/Program]],Table2[],3,FALSE)</f>
        <v>0</v>
      </c>
      <c r="N36" s="40">
        <f>VLOOKUP(Table1[[#This Row],[Location/Program]],Table2[],4,FALSE)</f>
        <v>0</v>
      </c>
      <c r="O36" s="40">
        <f>VLOOKUP(Table1[[#This Row],[Location/Program]],Table2[],5,FALSE)</f>
        <v>0</v>
      </c>
      <c r="P36" s="40">
        <f>VLOOKUP(Table1[[#This Row],[Location/Program]],Table2[],6,FALSE)</f>
        <v>0</v>
      </c>
      <c r="Q36" s="40">
        <f>VLOOKUP(Table1[[#This Row],[Location/Program]],Table2[],7,FALSE)</f>
        <v>5</v>
      </c>
      <c r="R36" s="40">
        <f>VLOOKUP(Table1[[#This Row],[Location/Program]],Table2[],8,FALSE)</f>
        <v>4</v>
      </c>
      <c r="S36" s="40">
        <f>VLOOKUP(Table1[[#This Row],[Location/Program]],Table2[],9,FALSE)</f>
        <v>25</v>
      </c>
      <c r="T36" s="53">
        <f>Table1[[#This Row],[In Permanent Housing  as of Reporting Date]]/SUM(S36,L36)</f>
        <v>0.75757575757575757</v>
      </c>
      <c r="U36" s="39">
        <v>9</v>
      </c>
      <c r="V36" s="39" t="s">
        <v>100</v>
      </c>
    </row>
    <row r="37" spans="1:22" x14ac:dyDescent="0.3">
      <c r="A37" s="45" t="s">
        <v>101</v>
      </c>
      <c r="B37" s="37">
        <v>45148</v>
      </c>
      <c r="C37" s="37">
        <v>45148</v>
      </c>
      <c r="D37" s="38" t="s">
        <v>23</v>
      </c>
      <c r="E37" s="38" t="s">
        <v>24</v>
      </c>
      <c r="F37" s="38" t="s">
        <v>25</v>
      </c>
      <c r="G37" s="38" t="s">
        <v>25</v>
      </c>
      <c r="H37" s="64">
        <v>110</v>
      </c>
      <c r="I37" s="35" t="s">
        <v>27</v>
      </c>
      <c r="J37" s="39">
        <v>25</v>
      </c>
      <c r="K37" s="35">
        <f>SUM(Table1[[#This Row],[In Interim Housing as of Reporting Date]:[In Permanent Housing  as of Reporting Date]])</f>
        <v>41</v>
      </c>
      <c r="L37" s="40">
        <f>VLOOKUP(Table1[[#This Row],[Location/Program]],Table2[],2,FALSE)</f>
        <v>27</v>
      </c>
      <c r="M37" s="40">
        <f>VLOOKUP(Table1[[#This Row],[Location/Program]],Table2[],3,FALSE)</f>
        <v>1</v>
      </c>
      <c r="N37" s="40">
        <f>VLOOKUP(Table1[[#This Row],[Location/Program]],Table2[],4,FALSE)</f>
        <v>0</v>
      </c>
      <c r="O37" s="40">
        <f>VLOOKUP(Table1[[#This Row],[Location/Program]],Table2[],5,FALSE)</f>
        <v>0</v>
      </c>
      <c r="P37" s="40">
        <f>VLOOKUP(Table1[[#This Row],[Location/Program]],Table2[],6,FALSE)</f>
        <v>0</v>
      </c>
      <c r="Q37" s="40">
        <f>VLOOKUP(Table1[[#This Row],[Location/Program]],Table2[],7,FALSE)</f>
        <v>4</v>
      </c>
      <c r="R37" s="40">
        <f>VLOOKUP(Table1[[#This Row],[Location/Program]],Table2[],8,FALSE)</f>
        <v>4</v>
      </c>
      <c r="S37" s="40">
        <f>VLOOKUP(Table1[[#This Row],[Location/Program]],Table2[],9,FALSE)</f>
        <v>5</v>
      </c>
      <c r="T37" s="53">
        <f>Table1[[#This Row],[In Permanent Housing  as of Reporting Date]]/SUM(S37,L37)</f>
        <v>0.15625</v>
      </c>
      <c r="U37" s="39">
        <v>13</v>
      </c>
      <c r="V37" s="39">
        <v>1</v>
      </c>
    </row>
    <row r="38" spans="1:22" x14ac:dyDescent="0.3">
      <c r="A38" s="45" t="s">
        <v>102</v>
      </c>
      <c r="B38" s="37">
        <v>45181</v>
      </c>
      <c r="C38" s="37">
        <v>45181</v>
      </c>
      <c r="D38" s="38" t="s">
        <v>23</v>
      </c>
      <c r="E38" s="38" t="s">
        <v>24</v>
      </c>
      <c r="F38" s="38" t="s">
        <v>65</v>
      </c>
      <c r="G38" s="38" t="s">
        <v>65</v>
      </c>
      <c r="H38" s="64">
        <v>110</v>
      </c>
      <c r="I38" s="35" t="s">
        <v>27</v>
      </c>
      <c r="J38" s="39">
        <v>60</v>
      </c>
      <c r="K38" s="35">
        <f>SUM(Table1[[#This Row],[In Interim Housing as of Reporting Date]:[In Permanent Housing  as of Reporting Date]])</f>
        <v>52</v>
      </c>
      <c r="L38" s="40">
        <f>VLOOKUP(Table1[[#This Row],[Location/Program]],Table2[],2,FALSE)</f>
        <v>25</v>
      </c>
      <c r="M38" s="40">
        <f>VLOOKUP(Table1[[#This Row],[Location/Program]],Table2[],3,FALSE)</f>
        <v>0</v>
      </c>
      <c r="N38" s="40">
        <f>VLOOKUP(Table1[[#This Row],[Location/Program]],Table2[],4,FALSE)</f>
        <v>0</v>
      </c>
      <c r="O38" s="40">
        <f>VLOOKUP(Table1[[#This Row],[Location/Program]],Table2[],5,FALSE)</f>
        <v>1</v>
      </c>
      <c r="P38" s="40">
        <f>VLOOKUP(Table1[[#This Row],[Location/Program]],Table2[],6,FALSE)</f>
        <v>0</v>
      </c>
      <c r="Q38" s="40">
        <f>VLOOKUP(Table1[[#This Row],[Location/Program]],Table2[],7,FALSE)</f>
        <v>8</v>
      </c>
      <c r="R38" s="40">
        <f>VLOOKUP(Table1[[#This Row],[Location/Program]],Table2[],8,FALSE)</f>
        <v>12</v>
      </c>
      <c r="S38" s="40">
        <f>VLOOKUP(Table1[[#This Row],[Location/Program]],Table2[],9,FALSE)</f>
        <v>6</v>
      </c>
      <c r="T38" s="53">
        <f>Table1[[#This Row],[In Permanent Housing  as of Reporting Date]]/SUM(S38,L38)</f>
        <v>0.19354838709677419</v>
      </c>
      <c r="U38" s="39">
        <v>6</v>
      </c>
      <c r="V38" s="39">
        <v>11</v>
      </c>
    </row>
    <row r="39" spans="1:22" x14ac:dyDescent="0.3">
      <c r="A39" s="45" t="s">
        <v>103</v>
      </c>
      <c r="B39" s="37">
        <v>45188</v>
      </c>
      <c r="C39" s="37">
        <v>45188</v>
      </c>
      <c r="D39" s="38" t="s">
        <v>23</v>
      </c>
      <c r="E39" s="38" t="s">
        <v>24</v>
      </c>
      <c r="F39" s="38" t="s">
        <v>65</v>
      </c>
      <c r="G39" s="38" t="s">
        <v>65</v>
      </c>
      <c r="H39" s="64">
        <v>110</v>
      </c>
      <c r="I39" s="35" t="s">
        <v>27</v>
      </c>
      <c r="J39" s="39" t="s">
        <v>104</v>
      </c>
      <c r="K39" s="35">
        <f>SUM(Table1[[#This Row],[In Interim Housing as of Reporting Date]:[In Permanent Housing  as of Reporting Date]])</f>
        <v>66</v>
      </c>
      <c r="L39" s="40">
        <f>VLOOKUP(Table1[[#This Row],[Location/Program]],Table2[],2,FALSE)</f>
        <v>57</v>
      </c>
      <c r="M39" s="40">
        <f>VLOOKUP(Table1[[#This Row],[Location/Program]],Table2[],3,FALSE)</f>
        <v>1</v>
      </c>
      <c r="N39" s="40">
        <f>VLOOKUP(Table1[[#This Row],[Location/Program]],Table2[],4,FALSE)</f>
        <v>0</v>
      </c>
      <c r="O39" s="40">
        <f>VLOOKUP(Table1[[#This Row],[Location/Program]],Table2[],5,FALSE)</f>
        <v>0</v>
      </c>
      <c r="P39" s="40">
        <f>VLOOKUP(Table1[[#This Row],[Location/Program]],Table2[],6,FALSE)</f>
        <v>0</v>
      </c>
      <c r="Q39" s="40">
        <f>VLOOKUP(Table1[[#This Row],[Location/Program]],Table2[],7,FALSE)</f>
        <v>5</v>
      </c>
      <c r="R39" s="40">
        <f>VLOOKUP(Table1[[#This Row],[Location/Program]],Table2[],8,FALSE)</f>
        <v>3</v>
      </c>
      <c r="S39" s="40">
        <f>VLOOKUP(Table1[[#This Row],[Location/Program]],Table2[],9,FALSE)</f>
        <v>0</v>
      </c>
      <c r="T39" s="53">
        <f>Table1[[#This Row],[In Permanent Housing  as of Reporting Date]]/SUM(S39,L39)</f>
        <v>0</v>
      </c>
      <c r="U39" s="39">
        <v>3</v>
      </c>
      <c r="V39" s="39">
        <v>3</v>
      </c>
    </row>
    <row r="40" spans="1:22" x14ac:dyDescent="0.3">
      <c r="A40" s="45" t="s">
        <v>105</v>
      </c>
      <c r="B40" s="37">
        <v>45202</v>
      </c>
      <c r="C40" s="37">
        <v>45202</v>
      </c>
      <c r="D40" s="38" t="s">
        <v>23</v>
      </c>
      <c r="E40" s="38" t="s">
        <v>24</v>
      </c>
      <c r="F40" s="38" t="s">
        <v>41</v>
      </c>
      <c r="G40" s="38" t="s">
        <v>65</v>
      </c>
      <c r="H40" s="64">
        <v>110</v>
      </c>
      <c r="I40" s="35" t="s">
        <v>27</v>
      </c>
      <c r="J40" s="46" t="s">
        <v>106</v>
      </c>
      <c r="K40" s="35">
        <f>SUM(Table1[[#This Row],[In Interim Housing as of Reporting Date]:[In Permanent Housing  as of Reporting Date]])</f>
        <v>35</v>
      </c>
      <c r="L40" s="40">
        <f>VLOOKUP(Table1[[#This Row],[Location/Program]],Table2[],2,FALSE)</f>
        <v>23</v>
      </c>
      <c r="M40" s="40">
        <f>VLOOKUP(Table1[[#This Row],[Location/Program]],Table2[],3,FALSE)</f>
        <v>2</v>
      </c>
      <c r="N40" s="40">
        <f>VLOOKUP(Table1[[#This Row],[Location/Program]],Table2[],4,FALSE)</f>
        <v>0</v>
      </c>
      <c r="O40" s="40">
        <f>VLOOKUP(Table1[[#This Row],[Location/Program]],Table2[],5,FALSE)</f>
        <v>0</v>
      </c>
      <c r="P40" s="40">
        <f>VLOOKUP(Table1[[#This Row],[Location/Program]],Table2[],6,FALSE)</f>
        <v>1</v>
      </c>
      <c r="Q40" s="40">
        <f>VLOOKUP(Table1[[#This Row],[Location/Program]],Table2[],7,FALSE)</f>
        <v>2</v>
      </c>
      <c r="R40" s="40">
        <f>VLOOKUP(Table1[[#This Row],[Location/Program]],Table2[],8,FALSE)</f>
        <v>3</v>
      </c>
      <c r="S40" s="40">
        <f>VLOOKUP(Table1[[#This Row],[Location/Program]],Table2[],9,FALSE)</f>
        <v>4</v>
      </c>
      <c r="T40" s="53">
        <f>Table1[[#This Row],[In Permanent Housing  as of Reporting Date]]/SUM(S40,L40)</f>
        <v>0.14814814814814814</v>
      </c>
      <c r="U40" s="39">
        <v>12</v>
      </c>
      <c r="V40" s="39">
        <v>12</v>
      </c>
    </row>
    <row r="41" spans="1:22" x14ac:dyDescent="0.3">
      <c r="A41" s="83" t="s">
        <v>107</v>
      </c>
      <c r="B41" s="37">
        <v>45210</v>
      </c>
      <c r="C41" s="37">
        <v>45211</v>
      </c>
      <c r="D41" s="38" t="s">
        <v>23</v>
      </c>
      <c r="E41" s="38" t="s">
        <v>24</v>
      </c>
      <c r="F41" s="38" t="s">
        <v>70</v>
      </c>
      <c r="G41" s="38" t="s">
        <v>30</v>
      </c>
      <c r="H41" s="64">
        <v>110</v>
      </c>
      <c r="I41" s="35" t="s">
        <v>27</v>
      </c>
      <c r="J41" s="39" t="s">
        <v>108</v>
      </c>
      <c r="K41" s="35">
        <f>SUM(Table1[[#This Row],[In Interim Housing as of Reporting Date]:[In Permanent Housing  as of Reporting Date]])</f>
        <v>116</v>
      </c>
      <c r="L41" s="40">
        <f>VLOOKUP(Table1[[#This Row],[Location/Program]],Table2[],2,FALSE)</f>
        <v>76</v>
      </c>
      <c r="M41" s="40">
        <f>VLOOKUP(Table1[[#This Row],[Location/Program]],Table2[],3,FALSE)</f>
        <v>3</v>
      </c>
      <c r="N41" s="40">
        <f>VLOOKUP(Table1[[#This Row],[Location/Program]],Table2[],4,FALSE)</f>
        <v>0</v>
      </c>
      <c r="O41" s="40">
        <f>VLOOKUP(Table1[[#This Row],[Location/Program]],Table2[],5,FALSE)</f>
        <v>1</v>
      </c>
      <c r="P41" s="40">
        <f>VLOOKUP(Table1[[#This Row],[Location/Program]],Table2[],6,FALSE)</f>
        <v>0</v>
      </c>
      <c r="Q41" s="40">
        <f>VLOOKUP(Table1[[#This Row],[Location/Program]],Table2[],7,FALSE)</f>
        <v>27</v>
      </c>
      <c r="R41" s="40">
        <f>VLOOKUP(Table1[[#This Row],[Location/Program]],Table2[],8,FALSE)</f>
        <v>7</v>
      </c>
      <c r="S41" s="40">
        <f>VLOOKUP(Table1[[#This Row],[Location/Program]],Table2[],9,FALSE)</f>
        <v>2</v>
      </c>
      <c r="T41" s="53">
        <f>Table1[[#This Row],[In Permanent Housing  as of Reporting Date]]/SUM(S41,L41)</f>
        <v>2.564102564102564E-2</v>
      </c>
      <c r="U41" s="30" t="s">
        <v>109</v>
      </c>
      <c r="V41" s="39" t="s">
        <v>110</v>
      </c>
    </row>
    <row r="42" spans="1:22" ht="28.8" x14ac:dyDescent="0.3">
      <c r="A42" s="83" t="s">
        <v>111</v>
      </c>
      <c r="B42" s="37">
        <v>45223</v>
      </c>
      <c r="C42" s="37">
        <v>45223</v>
      </c>
      <c r="D42" s="38" t="s">
        <v>23</v>
      </c>
      <c r="E42" s="38" t="s">
        <v>24</v>
      </c>
      <c r="F42" s="38" t="s">
        <v>30</v>
      </c>
      <c r="G42" s="38" t="s">
        <v>112</v>
      </c>
      <c r="H42" s="64">
        <v>110</v>
      </c>
      <c r="I42" s="35" t="s">
        <v>27</v>
      </c>
      <c r="J42" s="39">
        <v>24</v>
      </c>
      <c r="K42" s="35">
        <f>SUM(Table1[[#This Row],[In Interim Housing as of Reporting Date]:[In Permanent Housing  as of Reporting Date]])</f>
        <v>68</v>
      </c>
      <c r="L42" s="40">
        <f>VLOOKUP(Table1[[#This Row],[Location/Program]],Table2[],2,FALSE)</f>
        <v>32</v>
      </c>
      <c r="M42" s="40">
        <f>VLOOKUP(Table1[[#This Row],[Location/Program]],Table2[],3,FALSE)</f>
        <v>1</v>
      </c>
      <c r="N42" s="40">
        <f>VLOOKUP(Table1[[#This Row],[Location/Program]],Table2[],4,FALSE)</f>
        <v>0</v>
      </c>
      <c r="O42" s="40">
        <f>VLOOKUP(Table1[[#This Row],[Location/Program]],Table2[],5,FALSE)</f>
        <v>0</v>
      </c>
      <c r="P42" s="40">
        <f>VLOOKUP(Table1[[#This Row],[Location/Program]],Table2[],6,FALSE)</f>
        <v>0</v>
      </c>
      <c r="Q42" s="40">
        <f>VLOOKUP(Table1[[#This Row],[Location/Program]],Table2[],7,FALSE)</f>
        <v>15</v>
      </c>
      <c r="R42" s="40">
        <f>VLOOKUP(Table1[[#This Row],[Location/Program]],Table2[],8,FALSE)</f>
        <v>15</v>
      </c>
      <c r="S42" s="40">
        <f>VLOOKUP(Table1[[#This Row],[Location/Program]],Table2[],9,FALSE)</f>
        <v>5</v>
      </c>
      <c r="T42" s="53">
        <f>Table1[[#This Row],[In Permanent Housing  as of Reporting Date]]/SUM(S42,L42)</f>
        <v>0.13513513513513514</v>
      </c>
      <c r="U42" s="30" t="s">
        <v>113</v>
      </c>
      <c r="V42" s="39" t="s">
        <v>114</v>
      </c>
    </row>
    <row r="43" spans="1:22" x14ac:dyDescent="0.3">
      <c r="A43" s="45" t="s">
        <v>115</v>
      </c>
      <c r="B43" s="37">
        <v>45237</v>
      </c>
      <c r="C43" s="37">
        <v>45238</v>
      </c>
      <c r="D43" s="38" t="s">
        <v>23</v>
      </c>
      <c r="E43" s="38" t="s">
        <v>24</v>
      </c>
      <c r="F43" s="38" t="s">
        <v>116</v>
      </c>
      <c r="G43" s="38" t="s">
        <v>41</v>
      </c>
      <c r="H43" s="64">
        <v>110</v>
      </c>
      <c r="I43" s="35" t="s">
        <v>27</v>
      </c>
      <c r="J43" s="39">
        <v>55</v>
      </c>
      <c r="K43" s="35">
        <f>SUM(Table1[[#This Row],[In Interim Housing as of Reporting Date]:[In Permanent Housing  as of Reporting Date]])</f>
        <v>81</v>
      </c>
      <c r="L43" s="40">
        <f>VLOOKUP(Table1[[#This Row],[Location/Program]],Table2[],2,FALSE)</f>
        <v>58</v>
      </c>
      <c r="M43" s="40">
        <f>VLOOKUP(Table1[[#This Row],[Location/Program]],Table2[],3,FALSE)</f>
        <v>1</v>
      </c>
      <c r="N43" s="40">
        <f>VLOOKUP(Table1[[#This Row],[Location/Program]],Table2[],4,FALSE)</f>
        <v>2</v>
      </c>
      <c r="O43" s="40">
        <f>VLOOKUP(Table1[[#This Row],[Location/Program]],Table2[],5,FALSE)</f>
        <v>0</v>
      </c>
      <c r="P43" s="40">
        <f>VLOOKUP(Table1[[#This Row],[Location/Program]],Table2[],6,FALSE)</f>
        <v>1</v>
      </c>
      <c r="Q43" s="40">
        <f>VLOOKUP(Table1[[#This Row],[Location/Program]],Table2[],7,FALSE)</f>
        <v>12</v>
      </c>
      <c r="R43" s="40">
        <f>VLOOKUP(Table1[[#This Row],[Location/Program]],Table2[],8,FALSE)</f>
        <v>6</v>
      </c>
      <c r="S43" s="40">
        <f>VLOOKUP(Table1[[#This Row],[Location/Program]],Table2[],9,FALSE)</f>
        <v>1</v>
      </c>
      <c r="T43" s="53">
        <f>Table1[[#This Row],[In Permanent Housing  as of Reporting Date]]/SUM(S43,L43)</f>
        <v>1.6949152542372881E-2</v>
      </c>
      <c r="U43" s="39">
        <v>1</v>
      </c>
      <c r="V43" s="39" t="s">
        <v>44</v>
      </c>
    </row>
    <row r="44" spans="1:22" x14ac:dyDescent="0.3">
      <c r="A44" s="45" t="s">
        <v>117</v>
      </c>
      <c r="B44" s="37">
        <v>45251</v>
      </c>
      <c r="C44" s="37">
        <v>45251</v>
      </c>
      <c r="D44" s="38" t="s">
        <v>23</v>
      </c>
      <c r="E44" s="38" t="s">
        <v>24</v>
      </c>
      <c r="F44" s="38" t="s">
        <v>118</v>
      </c>
      <c r="G44" s="38" t="s">
        <v>65</v>
      </c>
      <c r="H44" s="64">
        <v>110</v>
      </c>
      <c r="I44" s="35" t="s">
        <v>27</v>
      </c>
      <c r="J44" s="39">
        <v>12</v>
      </c>
      <c r="K44" s="35">
        <f>SUM(Table1[[#This Row],[In Interim Housing as of Reporting Date]:[In Permanent Housing  as of Reporting Date]])</f>
        <v>11</v>
      </c>
      <c r="L44" s="40">
        <f>VLOOKUP(Table1[[#This Row],[Location/Program]],Table2[],2,FALSE)</f>
        <v>10</v>
      </c>
      <c r="M44" s="40">
        <f>VLOOKUP(Table1[[#This Row],[Location/Program]],Table2[],3,FALSE)</f>
        <v>0</v>
      </c>
      <c r="N44" s="40">
        <f>VLOOKUP(Table1[[#This Row],[Location/Program]],Table2[],4,FALSE)</f>
        <v>0</v>
      </c>
      <c r="O44" s="40">
        <f>VLOOKUP(Table1[[#This Row],[Location/Program]],Table2[],5,FALSE)</f>
        <v>0</v>
      </c>
      <c r="P44" s="40">
        <f>VLOOKUP(Table1[[#This Row],[Location/Program]],Table2[],6,FALSE)</f>
        <v>0</v>
      </c>
      <c r="Q44" s="40">
        <f>VLOOKUP(Table1[[#This Row],[Location/Program]],Table2[],7,FALSE)</f>
        <v>0</v>
      </c>
      <c r="R44" s="40">
        <f>VLOOKUP(Table1[[#This Row],[Location/Program]],Table2[],8,FALSE)</f>
        <v>1</v>
      </c>
      <c r="S44" s="40">
        <f>VLOOKUP(Table1[[#This Row],[Location/Program]],Table2[],9,FALSE)</f>
        <v>0</v>
      </c>
      <c r="T44" s="53">
        <f>Table1[[#This Row],[In Permanent Housing  as of Reporting Date]]/SUM(S44,L44)</f>
        <v>0</v>
      </c>
      <c r="U44" s="39">
        <v>3</v>
      </c>
      <c r="V44" s="39">
        <v>11</v>
      </c>
    </row>
    <row r="45" spans="1:22" x14ac:dyDescent="0.3">
      <c r="A45" s="45" t="s">
        <v>119</v>
      </c>
      <c r="B45" s="37">
        <v>45259</v>
      </c>
      <c r="C45" s="37">
        <v>45259</v>
      </c>
      <c r="D45" s="38" t="s">
        <v>23</v>
      </c>
      <c r="E45" s="38" t="s">
        <v>24</v>
      </c>
      <c r="F45" s="38" t="s">
        <v>41</v>
      </c>
      <c r="G45" s="38" t="s">
        <v>41</v>
      </c>
      <c r="H45" s="64">
        <v>110</v>
      </c>
      <c r="I45" s="35" t="s">
        <v>27</v>
      </c>
      <c r="J45" s="39">
        <v>10</v>
      </c>
      <c r="K45" s="35">
        <f>SUM(Table1[[#This Row],[In Interim Housing as of Reporting Date]:[In Permanent Housing  as of Reporting Date]])</f>
        <v>46</v>
      </c>
      <c r="L45" s="40">
        <f>VLOOKUP(Table1[[#This Row],[Location/Program]],Table2[],2,FALSE)</f>
        <v>42</v>
      </c>
      <c r="M45" s="40">
        <f>VLOOKUP(Table1[[#This Row],[Location/Program]],Table2[],3,FALSE)</f>
        <v>0</v>
      </c>
      <c r="N45" s="40">
        <f>VLOOKUP(Table1[[#This Row],[Location/Program]],Table2[],4,FALSE)</f>
        <v>0</v>
      </c>
      <c r="O45" s="40">
        <f>VLOOKUP(Table1[[#This Row],[Location/Program]],Table2[],5,FALSE)</f>
        <v>0</v>
      </c>
      <c r="P45" s="40">
        <f>VLOOKUP(Table1[[#This Row],[Location/Program]],Table2[],6,FALSE)</f>
        <v>0</v>
      </c>
      <c r="Q45" s="40">
        <f>VLOOKUP(Table1[[#This Row],[Location/Program]],Table2[],7,FALSE)</f>
        <v>0</v>
      </c>
      <c r="R45" s="40">
        <f>VLOOKUP(Table1[[#This Row],[Location/Program]],Table2[],8,FALSE)</f>
        <v>2</v>
      </c>
      <c r="S45" s="40">
        <f>VLOOKUP(Table1[[#This Row],[Location/Program]],Table2[],9,FALSE)</f>
        <v>2</v>
      </c>
      <c r="T45" s="53">
        <f>Table1[[#This Row],[In Permanent Housing  as of Reporting Date]]/SUM(S45,L45)</f>
        <v>4.5454545454545456E-2</v>
      </c>
      <c r="U45" s="39">
        <v>8</v>
      </c>
      <c r="V45" s="39">
        <v>8</v>
      </c>
    </row>
    <row r="46" spans="1:22" ht="28.8" x14ac:dyDescent="0.3">
      <c r="A46" s="45" t="s">
        <v>120</v>
      </c>
      <c r="B46" s="37">
        <v>45266</v>
      </c>
      <c r="C46" s="37">
        <v>45268</v>
      </c>
      <c r="D46" s="38" t="s">
        <v>23</v>
      </c>
      <c r="E46" s="38" t="s">
        <v>24</v>
      </c>
      <c r="F46" s="38" t="s">
        <v>30</v>
      </c>
      <c r="G46" s="38" t="s">
        <v>48</v>
      </c>
      <c r="H46" s="64">
        <v>110</v>
      </c>
      <c r="I46" s="35" t="s">
        <v>27</v>
      </c>
      <c r="J46" s="39">
        <v>32</v>
      </c>
      <c r="K46" s="35">
        <f>SUM(Table1[[#This Row],[In Interim Housing as of Reporting Date]:[In Permanent Housing  as of Reporting Date]])</f>
        <v>31</v>
      </c>
      <c r="L46" s="40">
        <f>VLOOKUP(Table1[[#This Row],[Location/Program]],Table2[],2,FALSE)</f>
        <v>25</v>
      </c>
      <c r="M46" s="40">
        <f>VLOOKUP(Table1[[#This Row],[Location/Program]],Table2[],3,FALSE)</f>
        <v>0</v>
      </c>
      <c r="N46" s="40">
        <f>VLOOKUP(Table1[[#This Row],[Location/Program]],Table2[],4,FALSE)</f>
        <v>0</v>
      </c>
      <c r="O46" s="40">
        <f>VLOOKUP(Table1[[#This Row],[Location/Program]],Table2[],5,FALSE)</f>
        <v>0</v>
      </c>
      <c r="P46" s="40">
        <f>VLOOKUP(Table1[[#This Row],[Location/Program]],Table2[],6,FALSE)</f>
        <v>0</v>
      </c>
      <c r="Q46" s="40">
        <f>VLOOKUP(Table1[[#This Row],[Location/Program]],Table2[],7,FALSE)</f>
        <v>3</v>
      </c>
      <c r="R46" s="40">
        <f>VLOOKUP(Table1[[#This Row],[Location/Program]],Table2[],8,FALSE)</f>
        <v>1</v>
      </c>
      <c r="S46" s="40">
        <f>VLOOKUP(Table1[[#This Row],[Location/Program]],Table2[],9,FALSE)</f>
        <v>2</v>
      </c>
      <c r="T46" s="53">
        <f>Table1[[#This Row],[In Permanent Housing  as of Reporting Date]]/SUM(S46,L46)</f>
        <v>7.407407407407407E-2</v>
      </c>
      <c r="U46" s="39">
        <v>4</v>
      </c>
      <c r="V46" s="39">
        <v>6</v>
      </c>
    </row>
    <row r="47" spans="1:22" x14ac:dyDescent="0.3">
      <c r="A47" s="54" t="s">
        <v>121</v>
      </c>
      <c r="B47" s="37">
        <v>45268</v>
      </c>
      <c r="C47" s="36">
        <v>45279</v>
      </c>
      <c r="D47" s="38" t="s">
        <v>23</v>
      </c>
      <c r="E47" s="35" t="s">
        <v>35</v>
      </c>
      <c r="F47" s="35" t="s">
        <v>122</v>
      </c>
      <c r="G47" s="35" t="s">
        <v>41</v>
      </c>
      <c r="H47" s="63">
        <v>110</v>
      </c>
      <c r="I47" s="35" t="s">
        <v>27</v>
      </c>
      <c r="J47" s="69" t="s">
        <v>38</v>
      </c>
      <c r="K47" s="35">
        <f>SUM(Table1[[#This Row],[In Interim Housing as of Reporting Date]:[In Permanent Housing  as of Reporting Date]])</f>
        <v>13</v>
      </c>
      <c r="L47" s="40">
        <f>VLOOKUP(Table1[[#This Row],[Location/Program]],Table2[],2,FALSE)</f>
        <v>10</v>
      </c>
      <c r="M47" s="40">
        <f>VLOOKUP(Table1[[#This Row],[Location/Program]],Table2[],3,FALSE)</f>
        <v>1</v>
      </c>
      <c r="N47" s="40">
        <f>VLOOKUP(Table1[[#This Row],[Location/Program]],Table2[],4,FALSE)</f>
        <v>0</v>
      </c>
      <c r="O47" s="40">
        <f>VLOOKUP(Table1[[#This Row],[Location/Program]],Table2[],5,FALSE)</f>
        <v>0</v>
      </c>
      <c r="P47" s="40">
        <f>VLOOKUP(Table1[[#This Row],[Location/Program]],Table2[],6,FALSE)</f>
        <v>0</v>
      </c>
      <c r="Q47" s="40">
        <f>VLOOKUP(Table1[[#This Row],[Location/Program]],Table2[],7,FALSE)</f>
        <v>0</v>
      </c>
      <c r="R47" s="40">
        <f>VLOOKUP(Table1[[#This Row],[Location/Program]],Table2[],8,FALSE)</f>
        <v>1</v>
      </c>
      <c r="S47" s="40">
        <f>VLOOKUP(Table1[[#This Row],[Location/Program]],Table2[],9,FALSE)</f>
        <v>1</v>
      </c>
      <c r="T47" s="53">
        <f>Table1[[#This Row],[In Permanent Housing  as of Reporting Date]]/SUM(S47,L47)</f>
        <v>9.0909090909090912E-2</v>
      </c>
      <c r="U47" s="35">
        <v>8</v>
      </c>
      <c r="V47" s="35">
        <v>8</v>
      </c>
    </row>
    <row r="48" spans="1:22" x14ac:dyDescent="0.3">
      <c r="A48" s="45" t="s">
        <v>123</v>
      </c>
      <c r="B48" s="37">
        <v>45272</v>
      </c>
      <c r="C48" s="37">
        <v>45272</v>
      </c>
      <c r="D48" s="38" t="s">
        <v>23</v>
      </c>
      <c r="E48" s="35" t="s">
        <v>35</v>
      </c>
      <c r="F48" s="38" t="s">
        <v>25</v>
      </c>
      <c r="G48" s="38" t="s">
        <v>25</v>
      </c>
      <c r="H48" s="64">
        <v>110</v>
      </c>
      <c r="I48" s="35" t="s">
        <v>27</v>
      </c>
      <c r="J48" s="69" t="s">
        <v>38</v>
      </c>
      <c r="K48" s="35">
        <f>SUM(Table1[[#This Row],[In Interim Housing as of Reporting Date]:[In Permanent Housing  as of Reporting Date]])</f>
        <v>2</v>
      </c>
      <c r="L48" s="40">
        <f>VLOOKUP(Table1[[#This Row],[Location/Program]],Table2[],2,FALSE)</f>
        <v>1</v>
      </c>
      <c r="M48" s="40">
        <f>VLOOKUP(Table1[[#This Row],[Location/Program]],Table2[],3,FALSE)</f>
        <v>0</v>
      </c>
      <c r="N48" s="40">
        <f>VLOOKUP(Table1[[#This Row],[Location/Program]],Table2[],4,FALSE)</f>
        <v>0</v>
      </c>
      <c r="O48" s="40">
        <f>VLOOKUP(Table1[[#This Row],[Location/Program]],Table2[],5,FALSE)</f>
        <v>0</v>
      </c>
      <c r="P48" s="40">
        <f>VLOOKUP(Table1[[#This Row],[Location/Program]],Table2[],6,FALSE)</f>
        <v>0</v>
      </c>
      <c r="Q48" s="40">
        <f>VLOOKUP(Table1[[#This Row],[Location/Program]],Table2[],7,FALSE)</f>
        <v>0</v>
      </c>
      <c r="R48" s="40">
        <f>VLOOKUP(Table1[[#This Row],[Location/Program]],Table2[],8,FALSE)</f>
        <v>0</v>
      </c>
      <c r="S48" s="40">
        <f>VLOOKUP(Table1[[#This Row],[Location/Program]],Table2[],9,FALSE)</f>
        <v>1</v>
      </c>
      <c r="T48" s="53">
        <f>Table1[[#This Row],[In Permanent Housing  as of Reporting Date]]/SUM(S48,L48)</f>
        <v>0.5</v>
      </c>
      <c r="U48" s="39">
        <v>13</v>
      </c>
      <c r="V48" s="39" t="s">
        <v>93</v>
      </c>
    </row>
    <row r="49" spans="1:22" x14ac:dyDescent="0.3">
      <c r="A49" s="45" t="s">
        <v>124</v>
      </c>
      <c r="B49" s="37">
        <v>45272</v>
      </c>
      <c r="C49" s="37">
        <v>45272</v>
      </c>
      <c r="D49" s="38" t="s">
        <v>23</v>
      </c>
      <c r="E49" s="35" t="s">
        <v>35</v>
      </c>
      <c r="F49" s="38" t="s">
        <v>25</v>
      </c>
      <c r="G49" s="38" t="s">
        <v>26</v>
      </c>
      <c r="H49" s="64">
        <v>110</v>
      </c>
      <c r="I49" s="35" t="s">
        <v>27</v>
      </c>
      <c r="J49" s="69" t="s">
        <v>38</v>
      </c>
      <c r="K49" s="35">
        <f>SUM(Table1[[#This Row],[In Interim Housing as of Reporting Date]:[In Permanent Housing  as of Reporting Date]])</f>
        <v>3</v>
      </c>
      <c r="L49" s="40">
        <f>VLOOKUP(Table1[[#This Row],[Location/Program]],Table2[],2,FALSE)</f>
        <v>2</v>
      </c>
      <c r="M49" s="40">
        <f>VLOOKUP(Table1[[#This Row],[Location/Program]],Table2[],3,FALSE)</f>
        <v>0</v>
      </c>
      <c r="N49" s="40">
        <f>VLOOKUP(Table1[[#This Row],[Location/Program]],Table2[],4,FALSE)</f>
        <v>0</v>
      </c>
      <c r="O49" s="40">
        <f>VLOOKUP(Table1[[#This Row],[Location/Program]],Table2[],5,FALSE)</f>
        <v>0</v>
      </c>
      <c r="P49" s="40">
        <f>VLOOKUP(Table1[[#This Row],[Location/Program]],Table2[],6,FALSE)</f>
        <v>0</v>
      </c>
      <c r="Q49" s="40">
        <f>VLOOKUP(Table1[[#This Row],[Location/Program]],Table2[],7,FALSE)</f>
        <v>0</v>
      </c>
      <c r="R49" s="40">
        <f>VLOOKUP(Table1[[#This Row],[Location/Program]],Table2[],8,FALSE)</f>
        <v>1</v>
      </c>
      <c r="S49" s="40">
        <f>VLOOKUP(Table1[[#This Row],[Location/Program]],Table2[],9,FALSE)</f>
        <v>0</v>
      </c>
      <c r="T49" s="53">
        <f>Table1[[#This Row],[In Permanent Housing  as of Reporting Date]]/SUM(S49,L49)</f>
        <v>0</v>
      </c>
      <c r="U49" s="39">
        <v>4</v>
      </c>
      <c r="V49" s="39" t="s">
        <v>125</v>
      </c>
    </row>
    <row r="50" spans="1:22" x14ac:dyDescent="0.3">
      <c r="A50" s="45" t="s">
        <v>126</v>
      </c>
      <c r="B50" s="36">
        <v>45274</v>
      </c>
      <c r="C50" s="37">
        <v>45274</v>
      </c>
      <c r="D50" s="38" t="s">
        <v>23</v>
      </c>
      <c r="E50" s="35" t="s">
        <v>24</v>
      </c>
      <c r="F50" s="38" t="s">
        <v>127</v>
      </c>
      <c r="G50" s="38" t="s">
        <v>59</v>
      </c>
      <c r="H50" s="64">
        <v>110</v>
      </c>
      <c r="I50" s="35" t="s">
        <v>27</v>
      </c>
      <c r="J50" s="39">
        <v>30</v>
      </c>
      <c r="K50" s="35">
        <f>SUM(Table1[[#This Row],[In Interim Housing as of Reporting Date]:[In Permanent Housing  as of Reporting Date]])</f>
        <v>21</v>
      </c>
      <c r="L50" s="40">
        <f>VLOOKUP(Table1[[#This Row],[Location/Program]],Table2[],2,FALSE)</f>
        <v>15</v>
      </c>
      <c r="M50" s="40">
        <f>VLOOKUP(Table1[[#This Row],[Location/Program]],Table2[],3,FALSE)</f>
        <v>0</v>
      </c>
      <c r="N50" s="40">
        <f>VLOOKUP(Table1[[#This Row],[Location/Program]],Table2[],4,FALSE)</f>
        <v>0</v>
      </c>
      <c r="O50" s="40">
        <f>VLOOKUP(Table1[[#This Row],[Location/Program]],Table2[],5,FALSE)</f>
        <v>0</v>
      </c>
      <c r="P50" s="40">
        <f>VLOOKUP(Table1[[#This Row],[Location/Program]],Table2[],6,FALSE)</f>
        <v>0</v>
      </c>
      <c r="Q50" s="40">
        <f>VLOOKUP(Table1[[#This Row],[Location/Program]],Table2[],7,FALSE)</f>
        <v>5</v>
      </c>
      <c r="R50" s="40">
        <f>VLOOKUP(Table1[[#This Row],[Location/Program]],Table2[],8,FALSE)</f>
        <v>1</v>
      </c>
      <c r="S50" s="40">
        <f>VLOOKUP(Table1[[#This Row],[Location/Program]],Table2[],9,FALSE)</f>
        <v>0</v>
      </c>
      <c r="T50" s="53">
        <f>Table1[[#This Row],[In Permanent Housing  as of Reporting Date]]/SUM(S50,L50)</f>
        <v>0</v>
      </c>
      <c r="U50" s="39">
        <v>14</v>
      </c>
      <c r="V50" s="39">
        <v>14</v>
      </c>
    </row>
    <row r="51" spans="1:22" ht="28.8" x14ac:dyDescent="0.3">
      <c r="A51" s="45" t="s">
        <v>128</v>
      </c>
      <c r="B51" s="37">
        <v>45274</v>
      </c>
      <c r="C51" s="37">
        <v>45274</v>
      </c>
      <c r="D51" s="38" t="s">
        <v>23</v>
      </c>
      <c r="E51" s="35" t="s">
        <v>35</v>
      </c>
      <c r="F51" s="38" t="s">
        <v>48</v>
      </c>
      <c r="G51" s="38" t="s">
        <v>48</v>
      </c>
      <c r="H51" s="64">
        <v>110</v>
      </c>
      <c r="I51" s="35" t="s">
        <v>27</v>
      </c>
      <c r="J51" s="69" t="s">
        <v>38</v>
      </c>
      <c r="K51" s="35">
        <f>SUM(Table1[[#This Row],[In Interim Housing as of Reporting Date]:[In Permanent Housing  as of Reporting Date]])</f>
        <v>5</v>
      </c>
      <c r="L51" s="40">
        <f>VLOOKUP(Table1[[#This Row],[Location/Program]],Table2[],2,FALSE)</f>
        <v>5</v>
      </c>
      <c r="M51" s="40">
        <f>VLOOKUP(Table1[[#This Row],[Location/Program]],Table2[],3,FALSE)</f>
        <v>0</v>
      </c>
      <c r="N51" s="40">
        <f>VLOOKUP(Table1[[#This Row],[Location/Program]],Table2[],4,FALSE)</f>
        <v>0</v>
      </c>
      <c r="O51" s="40">
        <f>VLOOKUP(Table1[[#This Row],[Location/Program]],Table2[],5,FALSE)</f>
        <v>0</v>
      </c>
      <c r="P51" s="40">
        <f>VLOOKUP(Table1[[#This Row],[Location/Program]],Table2[],6,FALSE)</f>
        <v>0</v>
      </c>
      <c r="Q51" s="40">
        <f>VLOOKUP(Table1[[#This Row],[Location/Program]],Table2[],7,FALSE)</f>
        <v>0</v>
      </c>
      <c r="R51" s="40">
        <f>VLOOKUP(Table1[[#This Row],[Location/Program]],Table2[],8,FALSE)</f>
        <v>0</v>
      </c>
      <c r="S51" s="40">
        <f>VLOOKUP(Table1[[#This Row],[Location/Program]],Table2[],9,FALSE)</f>
        <v>0</v>
      </c>
      <c r="T51" s="53">
        <f>Table1[[#This Row],[In Permanent Housing  as of Reporting Date]]/SUM(S51,L51)</f>
        <v>0</v>
      </c>
      <c r="U51" s="39">
        <v>7</v>
      </c>
      <c r="V51" s="39">
        <v>12</v>
      </c>
    </row>
    <row r="52" spans="1:22" x14ac:dyDescent="0.3">
      <c r="A52" s="68" t="s">
        <v>129</v>
      </c>
      <c r="B52" s="37">
        <v>45279</v>
      </c>
      <c r="C52" s="37">
        <v>45279</v>
      </c>
      <c r="D52" s="38" t="s">
        <v>23</v>
      </c>
      <c r="E52" s="35" t="s">
        <v>35</v>
      </c>
      <c r="F52" s="38" t="s">
        <v>130</v>
      </c>
      <c r="G52" s="38" t="s">
        <v>41</v>
      </c>
      <c r="H52" s="64">
        <v>110</v>
      </c>
      <c r="I52" s="35" t="s">
        <v>27</v>
      </c>
      <c r="J52" s="69" t="s">
        <v>38</v>
      </c>
      <c r="K52" s="35">
        <f>SUM(Table1[[#This Row],[In Interim Housing as of Reporting Date]:[In Permanent Housing  as of Reporting Date]])</f>
        <v>8</v>
      </c>
      <c r="L52" s="40">
        <f>VLOOKUP(Table1[[#This Row],[Location/Program]],Table2[],2,FALSE)</f>
        <v>6</v>
      </c>
      <c r="M52" s="40">
        <f>VLOOKUP(Table1[[#This Row],[Location/Program]],Table2[],3,FALSE)</f>
        <v>0</v>
      </c>
      <c r="N52" s="40">
        <f>VLOOKUP(Table1[[#This Row],[Location/Program]],Table2[],4,FALSE)</f>
        <v>0</v>
      </c>
      <c r="O52" s="40">
        <f>VLOOKUP(Table1[[#This Row],[Location/Program]],Table2[],5,FALSE)</f>
        <v>0</v>
      </c>
      <c r="P52" s="40">
        <f>VLOOKUP(Table1[[#This Row],[Location/Program]],Table2[],6,FALSE)</f>
        <v>0</v>
      </c>
      <c r="Q52" s="40">
        <f>VLOOKUP(Table1[[#This Row],[Location/Program]],Table2[],7,FALSE)</f>
        <v>1</v>
      </c>
      <c r="R52" s="40">
        <f>VLOOKUP(Table1[[#This Row],[Location/Program]],Table2[],8,FALSE)</f>
        <v>1</v>
      </c>
      <c r="S52" s="40">
        <f>VLOOKUP(Table1[[#This Row],[Location/Program]],Table2[],9,FALSE)</f>
        <v>0</v>
      </c>
      <c r="T52" s="53">
        <f>Table1[[#This Row],[In Permanent Housing  as of Reporting Date]]/SUM(S52,L52)</f>
        <v>0</v>
      </c>
      <c r="U52" s="39">
        <v>9</v>
      </c>
      <c r="V52" s="39">
        <v>9</v>
      </c>
    </row>
    <row r="53" spans="1:22" ht="28.8" x14ac:dyDescent="0.3">
      <c r="A53" s="45" t="s">
        <v>131</v>
      </c>
      <c r="B53" s="37">
        <v>45300</v>
      </c>
      <c r="C53" s="37">
        <v>45301</v>
      </c>
      <c r="D53" s="38" t="s">
        <v>23</v>
      </c>
      <c r="E53" s="38" t="s">
        <v>24</v>
      </c>
      <c r="F53" s="38" t="s">
        <v>25</v>
      </c>
      <c r="G53" s="38" t="s">
        <v>132</v>
      </c>
      <c r="H53" s="64">
        <v>110</v>
      </c>
      <c r="I53" s="35" t="s">
        <v>27</v>
      </c>
      <c r="J53" s="39">
        <v>22</v>
      </c>
      <c r="K53" s="35">
        <f>SUM(Table1[[#This Row],[In Interim Housing as of Reporting Date]:[In Permanent Housing  as of Reporting Date]])</f>
        <v>38</v>
      </c>
      <c r="L53" s="40">
        <f>VLOOKUP(Table1[[#This Row],[Location/Program]],Table2[],2,FALSE)</f>
        <v>31</v>
      </c>
      <c r="M53" s="40">
        <f>VLOOKUP(Table1[[#This Row],[Location/Program]],Table2[],3,FALSE)</f>
        <v>0</v>
      </c>
      <c r="N53" s="40">
        <f>VLOOKUP(Table1[[#This Row],[Location/Program]],Table2[],4,FALSE)</f>
        <v>0</v>
      </c>
      <c r="O53" s="40">
        <f>VLOOKUP(Table1[[#This Row],[Location/Program]],Table2[],5,FALSE)</f>
        <v>0</v>
      </c>
      <c r="P53" s="40">
        <f>VLOOKUP(Table1[[#This Row],[Location/Program]],Table2[],6,FALSE)</f>
        <v>0</v>
      </c>
      <c r="Q53" s="40">
        <f>VLOOKUP(Table1[[#This Row],[Location/Program]],Table2[],7,FALSE)</f>
        <v>4</v>
      </c>
      <c r="R53" s="40">
        <f>VLOOKUP(Table1[[#This Row],[Location/Program]],Table2[],8,FALSE)</f>
        <v>1</v>
      </c>
      <c r="S53" s="40">
        <f>VLOOKUP(Table1[[#This Row],[Location/Program]],Table2[],9,FALSE)</f>
        <v>2</v>
      </c>
      <c r="T53" s="53">
        <f>Table1[[#This Row],[In Permanent Housing  as of Reporting Date]]/SUM(S53,L53)</f>
        <v>6.0606060606060608E-2</v>
      </c>
      <c r="U53" s="39">
        <v>5</v>
      </c>
      <c r="V53" s="48" t="s">
        <v>133</v>
      </c>
    </row>
    <row r="54" spans="1:22" x14ac:dyDescent="0.3">
      <c r="A54" s="45" t="s">
        <v>134</v>
      </c>
      <c r="B54" s="37">
        <v>45307</v>
      </c>
      <c r="C54" s="37">
        <v>45307</v>
      </c>
      <c r="D54" s="38" t="s">
        <v>23</v>
      </c>
      <c r="E54" s="35" t="s">
        <v>35</v>
      </c>
      <c r="F54" s="38" t="s">
        <v>36</v>
      </c>
      <c r="G54" s="38" t="s">
        <v>26</v>
      </c>
      <c r="H54" s="64">
        <v>110</v>
      </c>
      <c r="I54" s="35" t="s">
        <v>27</v>
      </c>
      <c r="J54" s="69" t="s">
        <v>38</v>
      </c>
      <c r="K54" s="35">
        <f>SUM(Table1[[#This Row],[In Interim Housing as of Reporting Date]:[In Permanent Housing  as of Reporting Date]])</f>
        <v>10</v>
      </c>
      <c r="L54" s="40">
        <f>VLOOKUP(Table1[[#This Row],[Location/Program]],Table2[],2,FALSE)</f>
        <v>7</v>
      </c>
      <c r="M54" s="40">
        <f>VLOOKUP(Table1[[#This Row],[Location/Program]],Table2[],3,FALSE)</f>
        <v>0</v>
      </c>
      <c r="N54" s="40">
        <f>VLOOKUP(Table1[[#This Row],[Location/Program]],Table2[],4,FALSE)</f>
        <v>0</v>
      </c>
      <c r="O54" s="40">
        <f>VLOOKUP(Table1[[#This Row],[Location/Program]],Table2[],5,FALSE)</f>
        <v>0</v>
      </c>
      <c r="P54" s="40">
        <f>VLOOKUP(Table1[[#This Row],[Location/Program]],Table2[],6,FALSE)</f>
        <v>0</v>
      </c>
      <c r="Q54" s="40">
        <f>VLOOKUP(Table1[[#This Row],[Location/Program]],Table2[],7,FALSE)</f>
        <v>2</v>
      </c>
      <c r="R54" s="40">
        <f>VLOOKUP(Table1[[#This Row],[Location/Program]],Table2[],8,FALSE)</f>
        <v>1</v>
      </c>
      <c r="S54" s="40">
        <f>VLOOKUP(Table1[[#This Row],[Location/Program]],Table2[],9,FALSE)</f>
        <v>0</v>
      </c>
      <c r="T54" s="53">
        <f>Table1[[#This Row],[In Permanent Housing  as of Reporting Date]]/SUM(S54,L54)</f>
        <v>0</v>
      </c>
      <c r="U54" s="39">
        <v>4</v>
      </c>
      <c r="V54" s="39" t="s">
        <v>125</v>
      </c>
    </row>
    <row r="55" spans="1:22" x14ac:dyDescent="0.3">
      <c r="A55" s="45" t="s">
        <v>135</v>
      </c>
      <c r="B55" s="37">
        <v>45309</v>
      </c>
      <c r="C55" s="37">
        <v>45310</v>
      </c>
      <c r="D55" s="38" t="s">
        <v>23</v>
      </c>
      <c r="E55" s="35" t="s">
        <v>35</v>
      </c>
      <c r="F55" s="38" t="s">
        <v>130</v>
      </c>
      <c r="G55" s="38" t="s">
        <v>41</v>
      </c>
      <c r="H55" s="63">
        <v>110</v>
      </c>
      <c r="I55" s="35" t="s">
        <v>27</v>
      </c>
      <c r="J55" s="69" t="s">
        <v>38</v>
      </c>
      <c r="K55" s="35">
        <f>SUM(Table1[[#This Row],[In Interim Housing as of Reporting Date]:[In Permanent Housing  as of Reporting Date]])</f>
        <v>4</v>
      </c>
      <c r="L55" s="40">
        <f>VLOOKUP(Table1[[#This Row],[Location/Program]],Table2[],2,FALSE)</f>
        <v>4</v>
      </c>
      <c r="M55" s="40">
        <f>VLOOKUP(Table1[[#This Row],[Location/Program]],Table2[],3,FALSE)</f>
        <v>0</v>
      </c>
      <c r="N55" s="40">
        <f>VLOOKUP(Table1[[#This Row],[Location/Program]],Table2[],4,FALSE)</f>
        <v>0</v>
      </c>
      <c r="O55" s="40">
        <f>VLOOKUP(Table1[[#This Row],[Location/Program]],Table2[],5,FALSE)</f>
        <v>0</v>
      </c>
      <c r="P55" s="40">
        <f>VLOOKUP(Table1[[#This Row],[Location/Program]],Table2[],6,FALSE)</f>
        <v>0</v>
      </c>
      <c r="Q55" s="40">
        <f>VLOOKUP(Table1[[#This Row],[Location/Program]],Table2[],7,FALSE)</f>
        <v>0</v>
      </c>
      <c r="R55" s="40">
        <f>VLOOKUP(Table1[[#This Row],[Location/Program]],Table2[],8,FALSE)</f>
        <v>0</v>
      </c>
      <c r="S55" s="40">
        <f>VLOOKUP(Table1[[#This Row],[Location/Program]],Table2[],9,FALSE)</f>
        <v>0</v>
      </c>
      <c r="T55" s="53">
        <f>Table1[[#This Row],[In Permanent Housing  as of Reporting Date]]/SUM(S55,L55)</f>
        <v>0</v>
      </c>
      <c r="U55" s="39">
        <v>8</v>
      </c>
      <c r="V55" s="39">
        <v>8</v>
      </c>
    </row>
    <row r="56" spans="1:22" x14ac:dyDescent="0.3">
      <c r="A56" s="45" t="s">
        <v>136</v>
      </c>
      <c r="B56" s="37">
        <v>45310</v>
      </c>
      <c r="C56" s="37">
        <v>45310</v>
      </c>
      <c r="D56" s="38" t="s">
        <v>23</v>
      </c>
      <c r="E56" s="38" t="s">
        <v>24</v>
      </c>
      <c r="F56" s="38" t="s">
        <v>36</v>
      </c>
      <c r="G56" s="38" t="s">
        <v>41</v>
      </c>
      <c r="H56" s="64">
        <v>110</v>
      </c>
      <c r="I56" s="35" t="s">
        <v>27</v>
      </c>
      <c r="J56" s="39">
        <v>4</v>
      </c>
      <c r="K56" s="35">
        <f>SUM(Table1[[#This Row],[In Interim Housing as of Reporting Date]:[In Permanent Housing  as of Reporting Date]])</f>
        <v>11</v>
      </c>
      <c r="L56" s="40">
        <f>VLOOKUP(Table1[[#This Row],[Location/Program]],Table2[],2,FALSE)</f>
        <v>11</v>
      </c>
      <c r="M56" s="40">
        <f>VLOOKUP(Table1[[#This Row],[Location/Program]],Table2[],3,FALSE)</f>
        <v>0</v>
      </c>
      <c r="N56" s="40">
        <f>VLOOKUP(Table1[[#This Row],[Location/Program]],Table2[],4,FALSE)</f>
        <v>0</v>
      </c>
      <c r="O56" s="40">
        <f>VLOOKUP(Table1[[#This Row],[Location/Program]],Table2[],5,FALSE)</f>
        <v>0</v>
      </c>
      <c r="P56" s="40">
        <f>VLOOKUP(Table1[[#This Row],[Location/Program]],Table2[],6,FALSE)</f>
        <v>0</v>
      </c>
      <c r="Q56" s="40">
        <f>VLOOKUP(Table1[[#This Row],[Location/Program]],Table2[],7,FALSE)</f>
        <v>0</v>
      </c>
      <c r="R56" s="40">
        <f>VLOOKUP(Table1[[#This Row],[Location/Program]],Table2[],8,FALSE)</f>
        <v>0</v>
      </c>
      <c r="S56" s="40">
        <f>VLOOKUP(Table1[[#This Row],[Location/Program]],Table2[],9,FALSE)</f>
        <v>0</v>
      </c>
      <c r="T56" s="53">
        <f>Table1[[#This Row],[In Permanent Housing  as of Reporting Date]]/SUM(S56,L56)</f>
        <v>0</v>
      </c>
      <c r="U56" s="39">
        <v>8</v>
      </c>
      <c r="V56" s="39">
        <v>8</v>
      </c>
    </row>
    <row r="57" spans="1:22" x14ac:dyDescent="0.3">
      <c r="A57" s="45" t="s">
        <v>137</v>
      </c>
      <c r="B57" s="37">
        <v>45316</v>
      </c>
      <c r="C57" s="37">
        <v>45316</v>
      </c>
      <c r="D57" s="38" t="s">
        <v>23</v>
      </c>
      <c r="E57" s="35" t="s">
        <v>35</v>
      </c>
      <c r="F57" s="38" t="s">
        <v>36</v>
      </c>
      <c r="G57" s="38" t="s">
        <v>138</v>
      </c>
      <c r="H57" s="64">
        <v>110</v>
      </c>
      <c r="I57" s="35" t="s">
        <v>27</v>
      </c>
      <c r="J57" s="69" t="s">
        <v>38</v>
      </c>
      <c r="K57" s="35">
        <f>SUM(Table1[[#This Row],[In Interim Housing as of Reporting Date]:[In Permanent Housing  as of Reporting Date]])</f>
        <v>9</v>
      </c>
      <c r="L57" s="40">
        <f>VLOOKUP(Table1[[#This Row],[Location/Program]],Table2[],2,FALSE)</f>
        <v>5</v>
      </c>
      <c r="M57" s="40">
        <f>VLOOKUP(Table1[[#This Row],[Location/Program]],Table2[],3,FALSE)</f>
        <v>0</v>
      </c>
      <c r="N57" s="40">
        <f>VLOOKUP(Table1[[#This Row],[Location/Program]],Table2[],4,FALSE)</f>
        <v>0</v>
      </c>
      <c r="O57" s="40">
        <f>VLOOKUP(Table1[[#This Row],[Location/Program]],Table2[],5,FALSE)</f>
        <v>0</v>
      </c>
      <c r="P57" s="40">
        <f>VLOOKUP(Table1[[#This Row],[Location/Program]],Table2[],6,FALSE)</f>
        <v>0</v>
      </c>
      <c r="Q57" s="40">
        <f>VLOOKUP(Table1[[#This Row],[Location/Program]],Table2[],7,FALSE)</f>
        <v>2</v>
      </c>
      <c r="R57" s="40">
        <f>VLOOKUP(Table1[[#This Row],[Location/Program]],Table2[],8,FALSE)</f>
        <v>2</v>
      </c>
      <c r="S57" s="40">
        <f>VLOOKUP(Table1[[#This Row],[Location/Program]],Table2[],9,FALSE)</f>
        <v>0</v>
      </c>
      <c r="T57" s="53">
        <f>Table1[[#This Row],[In Permanent Housing  as of Reporting Date]]/SUM(S57,L57)</f>
        <v>0</v>
      </c>
      <c r="U57" s="39">
        <v>10</v>
      </c>
      <c r="V57" s="39" t="s">
        <v>139</v>
      </c>
    </row>
    <row r="58" spans="1:22" x14ac:dyDescent="0.3">
      <c r="A58" s="54" t="s">
        <v>140</v>
      </c>
      <c r="B58" s="37">
        <v>45322</v>
      </c>
      <c r="C58" s="36">
        <v>45322</v>
      </c>
      <c r="D58" s="38" t="s">
        <v>23</v>
      </c>
      <c r="E58" s="35" t="s">
        <v>35</v>
      </c>
      <c r="F58" s="35" t="s">
        <v>36</v>
      </c>
      <c r="G58" s="35" t="s">
        <v>82</v>
      </c>
      <c r="H58" s="63">
        <v>110</v>
      </c>
      <c r="I58" s="35" t="s">
        <v>27</v>
      </c>
      <c r="J58" s="69" t="s">
        <v>38</v>
      </c>
      <c r="K58" s="35">
        <f>SUM(Table1[[#This Row],[In Interim Housing as of Reporting Date]:[In Permanent Housing  as of Reporting Date]])</f>
        <v>8</v>
      </c>
      <c r="L58" s="40">
        <f>VLOOKUP(Table1[[#This Row],[Location/Program]],Table2[],2,FALSE)</f>
        <v>7</v>
      </c>
      <c r="M58" s="40">
        <f>VLOOKUP(Table1[[#This Row],[Location/Program]],Table2[],3,FALSE)</f>
        <v>0</v>
      </c>
      <c r="N58" s="40">
        <f>VLOOKUP(Table1[[#This Row],[Location/Program]],Table2[],4,FALSE)</f>
        <v>0</v>
      </c>
      <c r="O58" s="40">
        <f>VLOOKUP(Table1[[#This Row],[Location/Program]],Table2[],5,FALSE)</f>
        <v>0</v>
      </c>
      <c r="P58" s="40">
        <f>VLOOKUP(Table1[[#This Row],[Location/Program]],Table2[],6,FALSE)</f>
        <v>0</v>
      </c>
      <c r="Q58" s="40">
        <f>VLOOKUP(Table1[[#This Row],[Location/Program]],Table2[],7,FALSE)</f>
        <v>0</v>
      </c>
      <c r="R58" s="40">
        <f>VLOOKUP(Table1[[#This Row],[Location/Program]],Table2[],8,FALSE)</f>
        <v>1</v>
      </c>
      <c r="S58" s="40">
        <f>VLOOKUP(Table1[[#This Row],[Location/Program]],Table2[],9,FALSE)</f>
        <v>0</v>
      </c>
      <c r="T58" s="53">
        <f>Table1[[#This Row],[In Permanent Housing  as of Reporting Date]]/SUM(S58,L58)</f>
        <v>0</v>
      </c>
      <c r="U58" s="35">
        <v>9</v>
      </c>
      <c r="V58" s="35" t="s">
        <v>141</v>
      </c>
    </row>
    <row r="59" spans="1:22" x14ac:dyDescent="0.3">
      <c r="A59" s="83" t="s">
        <v>142</v>
      </c>
      <c r="B59" s="37">
        <v>45323</v>
      </c>
      <c r="C59" s="37">
        <v>45323</v>
      </c>
      <c r="D59" s="38" t="s">
        <v>23</v>
      </c>
      <c r="E59" s="38" t="s">
        <v>24</v>
      </c>
      <c r="F59" s="38" t="s">
        <v>127</v>
      </c>
      <c r="G59" s="38" t="s">
        <v>59</v>
      </c>
      <c r="H59" s="64">
        <v>110</v>
      </c>
      <c r="I59" s="35" t="s">
        <v>27</v>
      </c>
      <c r="J59" s="39">
        <v>10</v>
      </c>
      <c r="K59" s="35">
        <f>SUM(Table1[[#This Row],[In Interim Housing as of Reporting Date]:[In Permanent Housing  as of Reporting Date]])</f>
        <v>10</v>
      </c>
      <c r="L59" s="40">
        <f>VLOOKUP(Table1[[#This Row],[Location/Program]],Table2[],2,FALSE)</f>
        <v>8</v>
      </c>
      <c r="M59" s="40">
        <f>VLOOKUP(Table1[[#This Row],[Location/Program]],Table2[],3,FALSE)</f>
        <v>0</v>
      </c>
      <c r="N59" s="40">
        <f>VLOOKUP(Table1[[#This Row],[Location/Program]],Table2[],4,FALSE)</f>
        <v>1</v>
      </c>
      <c r="O59" s="40">
        <f>VLOOKUP(Table1[[#This Row],[Location/Program]],Table2[],5,FALSE)</f>
        <v>0</v>
      </c>
      <c r="P59" s="40">
        <f>VLOOKUP(Table1[[#This Row],[Location/Program]],Table2[],6,FALSE)</f>
        <v>0</v>
      </c>
      <c r="Q59" s="40">
        <f>VLOOKUP(Table1[[#This Row],[Location/Program]],Table2[],7,FALSE)</f>
        <v>0</v>
      </c>
      <c r="R59" s="40">
        <f>VLOOKUP(Table1[[#This Row],[Location/Program]],Table2[],8,FALSE)</f>
        <v>1</v>
      </c>
      <c r="S59" s="40">
        <f>VLOOKUP(Table1[[#This Row],[Location/Program]],Table2[],9,FALSE)</f>
        <v>0</v>
      </c>
      <c r="T59" s="53">
        <f>Table1[[#This Row],[In Permanent Housing  as of Reporting Date]]/SUM(S59,L59)</f>
        <v>0</v>
      </c>
      <c r="U59" s="30" t="s">
        <v>143</v>
      </c>
      <c r="V59" s="39">
        <v>14</v>
      </c>
    </row>
    <row r="60" spans="1:22" ht="28.8" x14ac:dyDescent="0.3">
      <c r="A60" s="83" t="s">
        <v>144</v>
      </c>
      <c r="B60" s="37">
        <v>45326</v>
      </c>
      <c r="C60" s="37">
        <v>45326</v>
      </c>
      <c r="D60" s="38" t="s">
        <v>23</v>
      </c>
      <c r="E60" s="35" t="s">
        <v>35</v>
      </c>
      <c r="F60" s="38" t="s">
        <v>36</v>
      </c>
      <c r="G60" s="38" t="s">
        <v>48</v>
      </c>
      <c r="H60" s="64">
        <v>110</v>
      </c>
      <c r="I60" s="35" t="s">
        <v>27</v>
      </c>
      <c r="J60" s="69" t="s">
        <v>38</v>
      </c>
      <c r="K60" s="35">
        <f>SUM(Table1[[#This Row],[In Interim Housing as of Reporting Date]:[In Permanent Housing  as of Reporting Date]])</f>
        <v>1</v>
      </c>
      <c r="L60" s="40">
        <f>VLOOKUP(Table1[[#This Row],[Location/Program]],Table2[],2,FALSE)</f>
        <v>1</v>
      </c>
      <c r="M60" s="40">
        <f>VLOOKUP(Table1[[#This Row],[Location/Program]],Table2[],3,FALSE)</f>
        <v>0</v>
      </c>
      <c r="N60" s="40">
        <f>VLOOKUP(Table1[[#This Row],[Location/Program]],Table2[],4,FALSE)</f>
        <v>0</v>
      </c>
      <c r="O60" s="40">
        <f>VLOOKUP(Table1[[#This Row],[Location/Program]],Table2[],5,FALSE)</f>
        <v>0</v>
      </c>
      <c r="P60" s="40">
        <f>VLOOKUP(Table1[[#This Row],[Location/Program]],Table2[],6,FALSE)</f>
        <v>0</v>
      </c>
      <c r="Q60" s="40">
        <f>VLOOKUP(Table1[[#This Row],[Location/Program]],Table2[],7,FALSE)</f>
        <v>0</v>
      </c>
      <c r="R60" s="40">
        <f>VLOOKUP(Table1[[#This Row],[Location/Program]],Table2[],8,FALSE)</f>
        <v>0</v>
      </c>
      <c r="S60" s="40">
        <f>VLOOKUP(Table1[[#This Row],[Location/Program]],Table2[],9,FALSE)</f>
        <v>0</v>
      </c>
      <c r="T60" s="53">
        <f>Table1[[#This Row],[In Permanent Housing  as of Reporting Date]]/SUM(S60,L60)</f>
        <v>0</v>
      </c>
      <c r="U60" s="30" t="s">
        <v>145</v>
      </c>
      <c r="V60" s="48">
        <v>12</v>
      </c>
    </row>
    <row r="61" spans="1:22" x14ac:dyDescent="0.3">
      <c r="A61" s="45" t="s">
        <v>146</v>
      </c>
      <c r="B61" s="49">
        <v>45330</v>
      </c>
      <c r="C61" s="49">
        <v>45330</v>
      </c>
      <c r="D61" s="38" t="s">
        <v>23</v>
      </c>
      <c r="E61" s="35" t="s">
        <v>35</v>
      </c>
      <c r="F61" s="38" t="s">
        <v>36</v>
      </c>
      <c r="G61" s="38" t="s">
        <v>65</v>
      </c>
      <c r="H61" s="64">
        <v>110</v>
      </c>
      <c r="I61" s="35" t="s">
        <v>27</v>
      </c>
      <c r="J61" s="69" t="s">
        <v>38</v>
      </c>
      <c r="K61" s="35">
        <f>SUM(Table1[[#This Row],[In Interim Housing as of Reporting Date]:[In Permanent Housing  as of Reporting Date]])</f>
        <v>1</v>
      </c>
      <c r="L61" s="40">
        <f>VLOOKUP(Table1[[#This Row],[Location/Program]],Table2[],2,FALSE)</f>
        <v>1</v>
      </c>
      <c r="M61" s="40">
        <f>VLOOKUP(Table1[[#This Row],[Location/Program]],Table2[],3,FALSE)</f>
        <v>0</v>
      </c>
      <c r="N61" s="40">
        <f>VLOOKUP(Table1[[#This Row],[Location/Program]],Table2[],4,FALSE)</f>
        <v>0</v>
      </c>
      <c r="O61" s="40">
        <f>VLOOKUP(Table1[[#This Row],[Location/Program]],Table2[],5,FALSE)</f>
        <v>0</v>
      </c>
      <c r="P61" s="40">
        <f>VLOOKUP(Table1[[#This Row],[Location/Program]],Table2[],6,FALSE)</f>
        <v>0</v>
      </c>
      <c r="Q61" s="40">
        <f>VLOOKUP(Table1[[#This Row],[Location/Program]],Table2[],7,FALSE)</f>
        <v>0</v>
      </c>
      <c r="R61" s="40">
        <f>VLOOKUP(Table1[[#This Row],[Location/Program]],Table2[],8,FALSE)</f>
        <v>0</v>
      </c>
      <c r="S61" s="40">
        <f>VLOOKUP(Table1[[#This Row],[Location/Program]],Table2[],9,FALSE)</f>
        <v>0</v>
      </c>
      <c r="T61" s="53">
        <f>Table1[[#This Row],[In Permanent Housing  as of Reporting Date]]/SUM(S61,L61)</f>
        <v>0</v>
      </c>
      <c r="U61" s="39">
        <v>3</v>
      </c>
      <c r="V61" s="39">
        <v>11</v>
      </c>
    </row>
    <row r="62" spans="1:22" x14ac:dyDescent="0.3">
      <c r="A62" s="45" t="s">
        <v>147</v>
      </c>
      <c r="B62" s="36">
        <v>45331</v>
      </c>
      <c r="C62" s="37">
        <v>45331</v>
      </c>
      <c r="D62" s="38" t="s">
        <v>23</v>
      </c>
      <c r="E62" s="35" t="s">
        <v>35</v>
      </c>
      <c r="F62" s="38" t="s">
        <v>148</v>
      </c>
      <c r="G62" s="38" t="s">
        <v>65</v>
      </c>
      <c r="H62" s="64">
        <v>110</v>
      </c>
      <c r="I62" s="35" t="s">
        <v>27</v>
      </c>
      <c r="J62" s="69" t="s">
        <v>38</v>
      </c>
      <c r="K62" s="35">
        <f>SUM(Table1[[#This Row],[In Interim Housing as of Reporting Date]:[In Permanent Housing  as of Reporting Date]])</f>
        <v>2</v>
      </c>
      <c r="L62" s="40">
        <f>VLOOKUP(Table1[[#This Row],[Location/Program]],Table2[],2,FALSE)</f>
        <v>2</v>
      </c>
      <c r="M62" s="40">
        <f>VLOOKUP(Table1[[#This Row],[Location/Program]],Table2[],3,FALSE)</f>
        <v>0</v>
      </c>
      <c r="N62" s="40">
        <f>VLOOKUP(Table1[[#This Row],[Location/Program]],Table2[],4,FALSE)</f>
        <v>0</v>
      </c>
      <c r="O62" s="40">
        <f>VLOOKUP(Table1[[#This Row],[Location/Program]],Table2[],5,FALSE)</f>
        <v>0</v>
      </c>
      <c r="P62" s="40">
        <f>VLOOKUP(Table1[[#This Row],[Location/Program]],Table2[],6,FALSE)</f>
        <v>0</v>
      </c>
      <c r="Q62" s="40">
        <f>VLOOKUP(Table1[[#This Row],[Location/Program]],Table2[],7,FALSE)</f>
        <v>0</v>
      </c>
      <c r="R62" s="40">
        <f>VLOOKUP(Table1[[#This Row],[Location/Program]],Table2[],8,FALSE)</f>
        <v>0</v>
      </c>
      <c r="S62" s="40">
        <f>VLOOKUP(Table1[[#This Row],[Location/Program]],Table2[],9,FALSE)</f>
        <v>0</v>
      </c>
      <c r="T62" s="53">
        <f>Table1[[#This Row],[In Permanent Housing  as of Reporting Date]]/SUM(S62,L62)</f>
        <v>0</v>
      </c>
      <c r="U62" s="39">
        <v>12</v>
      </c>
      <c r="V62" s="39">
        <v>11</v>
      </c>
    </row>
    <row r="63" spans="1:22" x14ac:dyDescent="0.3">
      <c r="A63" s="45" t="s">
        <v>149</v>
      </c>
      <c r="B63" s="36">
        <v>45335</v>
      </c>
      <c r="C63" s="37">
        <v>45335</v>
      </c>
      <c r="D63" s="38" t="s">
        <v>23</v>
      </c>
      <c r="E63" s="35" t="s">
        <v>35</v>
      </c>
      <c r="F63" s="38" t="s">
        <v>36</v>
      </c>
      <c r="G63" s="38" t="s">
        <v>82</v>
      </c>
      <c r="H63" s="64">
        <v>110</v>
      </c>
      <c r="I63" s="35" t="s">
        <v>27</v>
      </c>
      <c r="J63" s="69" t="s">
        <v>38</v>
      </c>
      <c r="K63" s="35">
        <f>SUM(Table1[[#This Row],[In Interim Housing as of Reporting Date]:[In Permanent Housing  as of Reporting Date]])</f>
        <v>11</v>
      </c>
      <c r="L63" s="40">
        <f>VLOOKUP(Table1[[#This Row],[Location/Program]],Table2[],2,FALSE)</f>
        <v>8</v>
      </c>
      <c r="M63" s="40">
        <f>VLOOKUP(Table1[[#This Row],[Location/Program]],Table2[],3,FALSE)</f>
        <v>0</v>
      </c>
      <c r="N63" s="40">
        <f>VLOOKUP(Table1[[#This Row],[Location/Program]],Table2[],4,FALSE)</f>
        <v>0</v>
      </c>
      <c r="O63" s="40">
        <f>VLOOKUP(Table1[[#This Row],[Location/Program]],Table2[],5,FALSE)</f>
        <v>0</v>
      </c>
      <c r="P63" s="40">
        <f>VLOOKUP(Table1[[#This Row],[Location/Program]],Table2[],6,FALSE)</f>
        <v>0</v>
      </c>
      <c r="Q63" s="40">
        <f>VLOOKUP(Table1[[#This Row],[Location/Program]],Table2[],7,FALSE)</f>
        <v>1</v>
      </c>
      <c r="R63" s="40">
        <f>VLOOKUP(Table1[[#This Row],[Location/Program]],Table2[],8,FALSE)</f>
        <v>2</v>
      </c>
      <c r="S63" s="40">
        <f>VLOOKUP(Table1[[#This Row],[Location/Program]],Table2[],9,FALSE)</f>
        <v>0</v>
      </c>
      <c r="T63" s="53">
        <f>Table1[[#This Row],[In Permanent Housing  as of Reporting Date]]/SUM(S63,L63)</f>
        <v>0</v>
      </c>
      <c r="U63" s="39">
        <v>10</v>
      </c>
      <c r="V63" s="39" t="s">
        <v>150</v>
      </c>
    </row>
    <row r="64" spans="1:22" x14ac:dyDescent="0.3">
      <c r="A64" s="45" t="s">
        <v>151</v>
      </c>
      <c r="B64" s="37">
        <v>45335</v>
      </c>
      <c r="C64" s="37">
        <v>45335</v>
      </c>
      <c r="D64" s="38" t="s">
        <v>23</v>
      </c>
      <c r="E64" s="35" t="s">
        <v>35</v>
      </c>
      <c r="F64" s="38" t="s">
        <v>36</v>
      </c>
      <c r="G64" s="38" t="s">
        <v>152</v>
      </c>
      <c r="H64" s="64">
        <v>110</v>
      </c>
      <c r="I64" s="35" t="s">
        <v>27</v>
      </c>
      <c r="J64" s="69" t="s">
        <v>38</v>
      </c>
      <c r="K64" s="35">
        <f>SUM(Table1[[#This Row],[In Interim Housing as of Reporting Date]:[In Permanent Housing  as of Reporting Date]])</f>
        <v>3</v>
      </c>
      <c r="L64" s="40">
        <f>VLOOKUP(Table1[[#This Row],[Location/Program]],Table2[],2,FALSE)</f>
        <v>1</v>
      </c>
      <c r="M64" s="40">
        <f>VLOOKUP(Table1[[#This Row],[Location/Program]],Table2[],3,FALSE)</f>
        <v>0</v>
      </c>
      <c r="N64" s="40">
        <f>VLOOKUP(Table1[[#This Row],[Location/Program]],Table2[],4,FALSE)</f>
        <v>0</v>
      </c>
      <c r="O64" s="40">
        <f>VLOOKUP(Table1[[#This Row],[Location/Program]],Table2[],5,FALSE)</f>
        <v>0</v>
      </c>
      <c r="P64" s="40">
        <f>VLOOKUP(Table1[[#This Row],[Location/Program]],Table2[],6,FALSE)</f>
        <v>0</v>
      </c>
      <c r="Q64" s="40">
        <f>VLOOKUP(Table1[[#This Row],[Location/Program]],Table2[],7,FALSE)</f>
        <v>0</v>
      </c>
      <c r="R64" s="40">
        <f>VLOOKUP(Table1[[#This Row],[Location/Program]],Table2[],8,FALSE)</f>
        <v>2</v>
      </c>
      <c r="S64" s="40">
        <f>VLOOKUP(Table1[[#This Row],[Location/Program]],Table2[],9,FALSE)</f>
        <v>0</v>
      </c>
      <c r="T64" s="53">
        <f>Table1[[#This Row],[In Permanent Housing  as of Reporting Date]]/SUM(S64,L64)</f>
        <v>0</v>
      </c>
      <c r="U64" s="39">
        <v>8</v>
      </c>
      <c r="V64" s="39" t="s">
        <v>153</v>
      </c>
    </row>
    <row r="65" spans="1:22" x14ac:dyDescent="0.3">
      <c r="A65" s="45" t="s">
        <v>154</v>
      </c>
      <c r="B65" s="36">
        <v>45336</v>
      </c>
      <c r="C65" s="37">
        <v>45336</v>
      </c>
      <c r="D65" s="38" t="s">
        <v>23</v>
      </c>
      <c r="E65" s="35" t="s">
        <v>35</v>
      </c>
      <c r="F65" s="38" t="s">
        <v>36</v>
      </c>
      <c r="G65" s="38" t="s">
        <v>41</v>
      </c>
      <c r="H65" s="64">
        <v>110</v>
      </c>
      <c r="I65" s="35" t="s">
        <v>27</v>
      </c>
      <c r="J65" s="69" t="s">
        <v>38</v>
      </c>
      <c r="K65" s="35">
        <f>SUM(Table1[[#This Row],[In Interim Housing as of Reporting Date]:[In Permanent Housing  as of Reporting Date]])</f>
        <v>4</v>
      </c>
      <c r="L65" s="40">
        <f>VLOOKUP(Table1[[#This Row],[Location/Program]],Table2[],2,FALSE)</f>
        <v>4</v>
      </c>
      <c r="M65" s="40">
        <f>VLOOKUP(Table1[[#This Row],[Location/Program]],Table2[],3,FALSE)</f>
        <v>0</v>
      </c>
      <c r="N65" s="40">
        <f>VLOOKUP(Table1[[#This Row],[Location/Program]],Table2[],4,FALSE)</f>
        <v>0</v>
      </c>
      <c r="O65" s="40">
        <f>VLOOKUP(Table1[[#This Row],[Location/Program]],Table2[],5,FALSE)</f>
        <v>0</v>
      </c>
      <c r="P65" s="40">
        <f>VLOOKUP(Table1[[#This Row],[Location/Program]],Table2[],6,FALSE)</f>
        <v>0</v>
      </c>
      <c r="Q65" s="40">
        <f>VLOOKUP(Table1[[#This Row],[Location/Program]],Table2[],7,FALSE)</f>
        <v>0</v>
      </c>
      <c r="R65" s="40">
        <f>VLOOKUP(Table1[[#This Row],[Location/Program]],Table2[],8,FALSE)</f>
        <v>0</v>
      </c>
      <c r="S65" s="40">
        <f>VLOOKUP(Table1[[#This Row],[Location/Program]],Table2[],9,FALSE)</f>
        <v>0</v>
      </c>
      <c r="T65" s="53">
        <f>Table1[[#This Row],[In Permanent Housing  as of Reporting Date]]/SUM(S65,L65)</f>
        <v>0</v>
      </c>
      <c r="U65" s="39">
        <v>8</v>
      </c>
      <c r="V65" s="39" t="s">
        <v>53</v>
      </c>
    </row>
    <row r="66" spans="1:22" x14ac:dyDescent="0.3">
      <c r="A66" s="45" t="s">
        <v>155</v>
      </c>
      <c r="B66" s="37">
        <v>45342</v>
      </c>
      <c r="C66" s="37">
        <v>45342</v>
      </c>
      <c r="D66" s="38" t="s">
        <v>23</v>
      </c>
      <c r="E66" s="35" t="s">
        <v>35</v>
      </c>
      <c r="F66" s="38" t="s">
        <v>36</v>
      </c>
      <c r="G66" s="38" t="s">
        <v>41</v>
      </c>
      <c r="H66" s="64">
        <v>110</v>
      </c>
      <c r="I66" s="35" t="s">
        <v>27</v>
      </c>
      <c r="J66" s="69" t="s">
        <v>38</v>
      </c>
      <c r="K66" s="35">
        <f>SUM(Table1[[#This Row],[In Interim Housing as of Reporting Date]:[In Permanent Housing  as of Reporting Date]])</f>
        <v>3</v>
      </c>
      <c r="L66" s="40">
        <f>VLOOKUP(Table1[[#This Row],[Location/Program]],Table2[],2,FALSE)</f>
        <v>2</v>
      </c>
      <c r="M66" s="40">
        <f>VLOOKUP(Table1[[#This Row],[Location/Program]],Table2[],3,FALSE)</f>
        <v>0</v>
      </c>
      <c r="N66" s="40">
        <f>VLOOKUP(Table1[[#This Row],[Location/Program]],Table2[],4,FALSE)</f>
        <v>0</v>
      </c>
      <c r="O66" s="40">
        <f>VLOOKUP(Table1[[#This Row],[Location/Program]],Table2[],5,FALSE)</f>
        <v>0</v>
      </c>
      <c r="P66" s="40">
        <f>VLOOKUP(Table1[[#This Row],[Location/Program]],Table2[],6,FALSE)</f>
        <v>0</v>
      </c>
      <c r="Q66" s="40">
        <f>VLOOKUP(Table1[[#This Row],[Location/Program]],Table2[],7,FALSE)</f>
        <v>0</v>
      </c>
      <c r="R66" s="40">
        <f>VLOOKUP(Table1[[#This Row],[Location/Program]],Table2[],8,FALSE)</f>
        <v>1</v>
      </c>
      <c r="S66" s="40">
        <f>VLOOKUP(Table1[[#This Row],[Location/Program]],Table2[],9,FALSE)</f>
        <v>0</v>
      </c>
      <c r="T66" s="53">
        <f>Table1[[#This Row],[In Permanent Housing  as of Reporting Date]]/SUM(S66,L66)</f>
        <v>0</v>
      </c>
      <c r="U66" s="39">
        <v>8</v>
      </c>
      <c r="V66" s="39" t="s">
        <v>53</v>
      </c>
    </row>
    <row r="67" spans="1:22" x14ac:dyDescent="0.3">
      <c r="A67" s="54" t="s">
        <v>156</v>
      </c>
      <c r="B67" s="37">
        <v>45343</v>
      </c>
      <c r="C67" s="36">
        <v>45343</v>
      </c>
      <c r="D67" s="38" t="s">
        <v>23</v>
      </c>
      <c r="E67" s="35" t="s">
        <v>35</v>
      </c>
      <c r="F67" s="38" t="s">
        <v>130</v>
      </c>
      <c r="G67" s="35" t="s">
        <v>157</v>
      </c>
      <c r="H67" s="63">
        <v>110</v>
      </c>
      <c r="I67" s="35" t="s">
        <v>27</v>
      </c>
      <c r="J67" s="69" t="s">
        <v>38</v>
      </c>
      <c r="K67" s="35">
        <f>SUM(Table1[[#This Row],[In Interim Housing as of Reporting Date]:[In Permanent Housing  as of Reporting Date]])</f>
        <v>5</v>
      </c>
      <c r="L67" s="40">
        <f>VLOOKUP(Table1[[#This Row],[Location/Program]],Table2[],2,FALSE)</f>
        <v>2</v>
      </c>
      <c r="M67" s="40">
        <f>VLOOKUP(Table1[[#This Row],[Location/Program]],Table2[],3,FALSE)</f>
        <v>0</v>
      </c>
      <c r="N67" s="40">
        <f>VLOOKUP(Table1[[#This Row],[Location/Program]],Table2[],4,FALSE)</f>
        <v>0</v>
      </c>
      <c r="O67" s="40">
        <f>VLOOKUP(Table1[[#This Row],[Location/Program]],Table2[],5,FALSE)</f>
        <v>0</v>
      </c>
      <c r="P67" s="40">
        <f>VLOOKUP(Table1[[#This Row],[Location/Program]],Table2[],6,FALSE)</f>
        <v>0</v>
      </c>
      <c r="Q67" s="40">
        <f>VLOOKUP(Table1[[#This Row],[Location/Program]],Table2[],7,FALSE)</f>
        <v>2</v>
      </c>
      <c r="R67" s="40">
        <f>VLOOKUP(Table1[[#This Row],[Location/Program]],Table2[],8,FALSE)</f>
        <v>1</v>
      </c>
      <c r="S67" s="40">
        <f>VLOOKUP(Table1[[#This Row],[Location/Program]],Table2[],9,FALSE)</f>
        <v>0</v>
      </c>
      <c r="T67" s="53">
        <f>Table1[[#This Row],[In Permanent Housing  as of Reporting Date]]/SUM(S67,L67)</f>
        <v>0</v>
      </c>
      <c r="U67" s="35">
        <v>9</v>
      </c>
      <c r="V67" s="35" t="s">
        <v>158</v>
      </c>
    </row>
    <row r="68" spans="1:22" x14ac:dyDescent="0.3">
      <c r="A68" s="45" t="s">
        <v>159</v>
      </c>
      <c r="B68" s="37">
        <v>45343</v>
      </c>
      <c r="C68" s="37">
        <v>45343</v>
      </c>
      <c r="D68" s="38" t="s">
        <v>23</v>
      </c>
      <c r="E68" s="35" t="s">
        <v>35</v>
      </c>
      <c r="F68" s="38" t="s">
        <v>36</v>
      </c>
      <c r="G68" s="38" t="s">
        <v>30</v>
      </c>
      <c r="H68" s="64">
        <v>110</v>
      </c>
      <c r="I68" s="35" t="s">
        <v>27</v>
      </c>
      <c r="J68" s="69" t="s">
        <v>38</v>
      </c>
      <c r="K68" s="35">
        <f>SUM(Table1[[#This Row],[In Interim Housing as of Reporting Date]:[In Permanent Housing  as of Reporting Date]])</f>
        <v>1</v>
      </c>
      <c r="L68" s="40">
        <f>VLOOKUP(Table1[[#This Row],[Location/Program]],Table2[],2,FALSE)</f>
        <v>1</v>
      </c>
      <c r="M68" s="40">
        <f>VLOOKUP(Table1[[#This Row],[Location/Program]],Table2[],3,FALSE)</f>
        <v>0</v>
      </c>
      <c r="N68" s="40">
        <f>VLOOKUP(Table1[[#This Row],[Location/Program]],Table2[],4,FALSE)</f>
        <v>0</v>
      </c>
      <c r="O68" s="40">
        <f>VLOOKUP(Table1[[#This Row],[Location/Program]],Table2[],5,FALSE)</f>
        <v>0</v>
      </c>
      <c r="P68" s="40">
        <f>VLOOKUP(Table1[[#This Row],[Location/Program]],Table2[],6,FALSE)</f>
        <v>0</v>
      </c>
      <c r="Q68" s="40">
        <f>VLOOKUP(Table1[[#This Row],[Location/Program]],Table2[],7,FALSE)</f>
        <v>0</v>
      </c>
      <c r="R68" s="40">
        <f>VLOOKUP(Table1[[#This Row],[Location/Program]],Table2[],8,FALSE)</f>
        <v>0</v>
      </c>
      <c r="S68" s="40">
        <f>VLOOKUP(Table1[[#This Row],[Location/Program]],Table2[],9,FALSE)</f>
        <v>0</v>
      </c>
      <c r="T68" s="53">
        <f>Table1[[#This Row],[In Permanent Housing  as of Reporting Date]]/SUM(S68,L68)</f>
        <v>0</v>
      </c>
      <c r="U68" s="39">
        <v>10</v>
      </c>
      <c r="V68" s="39">
        <v>8</v>
      </c>
    </row>
    <row r="69" spans="1:22" x14ac:dyDescent="0.3">
      <c r="A69" s="45" t="s">
        <v>160</v>
      </c>
      <c r="B69" s="37">
        <v>45345</v>
      </c>
      <c r="C69" s="37">
        <v>45345</v>
      </c>
      <c r="D69" s="38" t="s">
        <v>23</v>
      </c>
      <c r="E69" s="38" t="s">
        <v>24</v>
      </c>
      <c r="F69" s="38" t="s">
        <v>65</v>
      </c>
      <c r="G69" s="38" t="s">
        <v>65</v>
      </c>
      <c r="H69" s="64">
        <v>110</v>
      </c>
      <c r="I69" s="35" t="s">
        <v>27</v>
      </c>
      <c r="J69" s="39">
        <v>8</v>
      </c>
      <c r="K69" s="35">
        <f>SUM(Table1[[#This Row],[In Interim Housing as of Reporting Date]:[In Permanent Housing  as of Reporting Date]])</f>
        <v>10</v>
      </c>
      <c r="L69" s="40">
        <f>VLOOKUP(Table1[[#This Row],[Location/Program]],Table2[],2,FALSE)</f>
        <v>10</v>
      </c>
      <c r="M69" s="40">
        <f>VLOOKUP(Table1[[#This Row],[Location/Program]],Table2[],3,FALSE)</f>
        <v>0</v>
      </c>
      <c r="N69" s="40">
        <f>VLOOKUP(Table1[[#This Row],[Location/Program]],Table2[],4,FALSE)</f>
        <v>0</v>
      </c>
      <c r="O69" s="40">
        <f>VLOOKUP(Table1[[#This Row],[Location/Program]],Table2[],5,FALSE)</f>
        <v>0</v>
      </c>
      <c r="P69" s="40">
        <f>VLOOKUP(Table1[[#This Row],[Location/Program]],Table2[],6,FALSE)</f>
        <v>0</v>
      </c>
      <c r="Q69" s="40">
        <f>VLOOKUP(Table1[[#This Row],[Location/Program]],Table2[],7,FALSE)</f>
        <v>0</v>
      </c>
      <c r="R69" s="40">
        <f>VLOOKUP(Table1[[#This Row],[Location/Program]],Table2[],8,FALSE)</f>
        <v>0</v>
      </c>
      <c r="S69" s="40">
        <f>VLOOKUP(Table1[[#This Row],[Location/Program]],Table2[],9,FALSE)</f>
        <v>0</v>
      </c>
      <c r="T69" s="53">
        <f>Table1[[#This Row],[In Permanent Housing  as of Reporting Date]]/SUM(S69,L69)</f>
        <v>0</v>
      </c>
      <c r="U69" s="39">
        <v>6</v>
      </c>
      <c r="V69" s="39">
        <v>11</v>
      </c>
    </row>
    <row r="70" spans="1:22" x14ac:dyDescent="0.3">
      <c r="A70" s="45" t="s">
        <v>161</v>
      </c>
      <c r="B70" s="37">
        <v>45345</v>
      </c>
      <c r="C70" s="37">
        <v>45345</v>
      </c>
      <c r="D70" s="38" t="s">
        <v>23</v>
      </c>
      <c r="E70" s="38" t="s">
        <v>24</v>
      </c>
      <c r="F70" s="38" t="s">
        <v>36</v>
      </c>
      <c r="G70" s="38" t="s">
        <v>25</v>
      </c>
      <c r="H70" s="64">
        <v>110</v>
      </c>
      <c r="I70" s="35" t="s">
        <v>27</v>
      </c>
      <c r="J70" s="39">
        <v>6</v>
      </c>
      <c r="K70" s="35">
        <f>SUM(Table1[[#This Row],[In Interim Housing as of Reporting Date]:[In Permanent Housing  as of Reporting Date]])</f>
        <v>4</v>
      </c>
      <c r="L70" s="40">
        <f>VLOOKUP(Table1[[#This Row],[Location/Program]],Table2[],2,FALSE)</f>
        <v>4</v>
      </c>
      <c r="M70" s="40">
        <f>VLOOKUP(Table1[[#This Row],[Location/Program]],Table2[],3,FALSE)</f>
        <v>0</v>
      </c>
      <c r="N70" s="40">
        <f>VLOOKUP(Table1[[#This Row],[Location/Program]],Table2[],4,FALSE)</f>
        <v>0</v>
      </c>
      <c r="O70" s="40">
        <f>VLOOKUP(Table1[[#This Row],[Location/Program]],Table2[],5,FALSE)</f>
        <v>0</v>
      </c>
      <c r="P70" s="40">
        <f>VLOOKUP(Table1[[#This Row],[Location/Program]],Table2[],6,FALSE)</f>
        <v>0</v>
      </c>
      <c r="Q70" s="40">
        <f>VLOOKUP(Table1[[#This Row],[Location/Program]],Table2[],7,FALSE)</f>
        <v>0</v>
      </c>
      <c r="R70" s="40">
        <f>VLOOKUP(Table1[[#This Row],[Location/Program]],Table2[],8,FALSE)</f>
        <v>0</v>
      </c>
      <c r="S70" s="40">
        <f>VLOOKUP(Table1[[#This Row],[Location/Program]],Table2[],9,FALSE)</f>
        <v>0</v>
      </c>
      <c r="T70" s="53">
        <f>Table1[[#This Row],[In Permanent Housing  as of Reporting Date]]/SUM(S70,L70)</f>
        <v>0</v>
      </c>
      <c r="U70" s="39">
        <v>13</v>
      </c>
      <c r="V70" s="39">
        <v>4</v>
      </c>
    </row>
    <row r="71" spans="1:22" x14ac:dyDescent="0.3">
      <c r="A71" s="54" t="s">
        <v>162</v>
      </c>
      <c r="B71" s="37">
        <v>45356</v>
      </c>
      <c r="C71" s="36">
        <v>45356</v>
      </c>
      <c r="D71" s="38" t="s">
        <v>23</v>
      </c>
      <c r="E71" s="35" t="s">
        <v>35</v>
      </c>
      <c r="F71" s="38" t="s">
        <v>36</v>
      </c>
      <c r="G71" s="35" t="s">
        <v>30</v>
      </c>
      <c r="H71" s="63">
        <v>110</v>
      </c>
      <c r="I71" s="35" t="s">
        <v>27</v>
      </c>
      <c r="J71" s="69" t="s">
        <v>38</v>
      </c>
      <c r="K71" s="35">
        <f>SUM(Table1[[#This Row],[In Interim Housing as of Reporting Date]:[In Permanent Housing  as of Reporting Date]])</f>
        <v>3</v>
      </c>
      <c r="L71" s="40">
        <f>VLOOKUP(Table1[[#This Row],[Location/Program]],Table2[],2,FALSE)</f>
        <v>3</v>
      </c>
      <c r="M71" s="40">
        <f>VLOOKUP(Table1[[#This Row],[Location/Program]],Table2[],3,FALSE)</f>
        <v>0</v>
      </c>
      <c r="N71" s="40">
        <f>VLOOKUP(Table1[[#This Row],[Location/Program]],Table2[],4,FALSE)</f>
        <v>0</v>
      </c>
      <c r="O71" s="40">
        <f>VLOOKUP(Table1[[#This Row],[Location/Program]],Table2[],5,FALSE)</f>
        <v>0</v>
      </c>
      <c r="P71" s="40">
        <f>VLOOKUP(Table1[[#This Row],[Location/Program]],Table2[],6,FALSE)</f>
        <v>0</v>
      </c>
      <c r="Q71" s="40">
        <f>VLOOKUP(Table1[[#This Row],[Location/Program]],Table2[],7,FALSE)</f>
        <v>0</v>
      </c>
      <c r="R71" s="40">
        <f>VLOOKUP(Table1[[#This Row],[Location/Program]],Table2[],8,FALSE)</f>
        <v>0</v>
      </c>
      <c r="S71" s="40">
        <f>VLOOKUP(Table1[[#This Row],[Location/Program]],Table2[],9,FALSE)</f>
        <v>0</v>
      </c>
      <c r="T71" s="53">
        <f>Table1[[#This Row],[In Permanent Housing  as of Reporting Date]]/SUM(S71,L71)</f>
        <v>0</v>
      </c>
      <c r="U71" s="35">
        <v>9</v>
      </c>
      <c r="V71" s="35">
        <v>8</v>
      </c>
    </row>
    <row r="72" spans="1:22" x14ac:dyDescent="0.3">
      <c r="A72" s="45" t="s">
        <v>163</v>
      </c>
      <c r="B72" s="37">
        <v>45357</v>
      </c>
      <c r="C72" s="37">
        <v>45357</v>
      </c>
      <c r="D72" s="38" t="s">
        <v>23</v>
      </c>
      <c r="E72" s="38" t="s">
        <v>24</v>
      </c>
      <c r="F72" s="38" t="s">
        <v>25</v>
      </c>
      <c r="G72" s="38" t="s">
        <v>164</v>
      </c>
      <c r="H72" s="64">
        <v>110</v>
      </c>
      <c r="I72" s="35" t="s">
        <v>27</v>
      </c>
      <c r="J72" s="39">
        <v>6</v>
      </c>
      <c r="K72" s="35">
        <f>SUM(Table1[[#This Row],[In Interim Housing as of Reporting Date]:[In Permanent Housing  as of Reporting Date]])</f>
        <v>6</v>
      </c>
      <c r="L72" s="40">
        <f>VLOOKUP(Table1[[#This Row],[Location/Program]],Table2[],2,FALSE)</f>
        <v>4</v>
      </c>
      <c r="M72" s="40">
        <f>VLOOKUP(Table1[[#This Row],[Location/Program]],Table2[],3,FALSE)</f>
        <v>0</v>
      </c>
      <c r="N72" s="40">
        <f>VLOOKUP(Table1[[#This Row],[Location/Program]],Table2[],4,FALSE)</f>
        <v>0</v>
      </c>
      <c r="O72" s="40">
        <f>VLOOKUP(Table1[[#This Row],[Location/Program]],Table2[],5,FALSE)</f>
        <v>0</v>
      </c>
      <c r="P72" s="40">
        <f>VLOOKUP(Table1[[#This Row],[Location/Program]],Table2[],6,FALSE)</f>
        <v>0</v>
      </c>
      <c r="Q72" s="40">
        <f>VLOOKUP(Table1[[#This Row],[Location/Program]],Table2[],7,FALSE)</f>
        <v>2</v>
      </c>
      <c r="R72" s="40">
        <f>VLOOKUP(Table1[[#This Row],[Location/Program]],Table2[],8,FALSE)</f>
        <v>0</v>
      </c>
      <c r="S72" s="40">
        <f>VLOOKUP(Table1[[#This Row],[Location/Program]],Table2[],9,FALSE)</f>
        <v>0</v>
      </c>
      <c r="T72" s="53">
        <f>Table1[[#This Row],[In Permanent Housing  as of Reporting Date]]/SUM(S72,L72)</f>
        <v>0</v>
      </c>
      <c r="U72" s="39">
        <v>1</v>
      </c>
      <c r="V72" s="39" t="s">
        <v>165</v>
      </c>
    </row>
    <row r="73" spans="1:22" x14ac:dyDescent="0.3">
      <c r="A73" s="56" t="s">
        <v>166</v>
      </c>
      <c r="B73" s="37">
        <v>45358</v>
      </c>
      <c r="C73" s="47">
        <v>45358</v>
      </c>
      <c r="D73" s="38" t="s">
        <v>23</v>
      </c>
      <c r="E73" s="35" t="s">
        <v>35</v>
      </c>
      <c r="F73" s="42" t="s">
        <v>25</v>
      </c>
      <c r="G73" s="42" t="s">
        <v>26</v>
      </c>
      <c r="H73" s="65">
        <v>110</v>
      </c>
      <c r="I73" s="35" t="s">
        <v>27</v>
      </c>
      <c r="J73" s="69" t="s">
        <v>38</v>
      </c>
      <c r="K73" s="35">
        <f>SUM(Table1[[#This Row],[In Interim Housing as of Reporting Date]:[In Permanent Housing  as of Reporting Date]])</f>
        <v>17</v>
      </c>
      <c r="L73" s="40">
        <f>VLOOKUP(Table1[[#This Row],[Location/Program]],Table2[],2,FALSE)</f>
        <v>10</v>
      </c>
      <c r="M73" s="40">
        <f>VLOOKUP(Table1[[#This Row],[Location/Program]],Table2[],3,FALSE)</f>
        <v>0</v>
      </c>
      <c r="N73" s="40">
        <f>VLOOKUP(Table1[[#This Row],[Location/Program]],Table2[],4,FALSE)</f>
        <v>0</v>
      </c>
      <c r="O73" s="40">
        <f>VLOOKUP(Table1[[#This Row],[Location/Program]],Table2[],5,FALSE)</f>
        <v>0</v>
      </c>
      <c r="P73" s="40">
        <f>VLOOKUP(Table1[[#This Row],[Location/Program]],Table2[],6,FALSE)</f>
        <v>0</v>
      </c>
      <c r="Q73" s="40">
        <f>VLOOKUP(Table1[[#This Row],[Location/Program]],Table2[],7,FALSE)</f>
        <v>3</v>
      </c>
      <c r="R73" s="40">
        <f>VLOOKUP(Table1[[#This Row],[Location/Program]],Table2[],8,FALSE)</f>
        <v>4</v>
      </c>
      <c r="S73" s="40">
        <f>VLOOKUP(Table1[[#This Row],[Location/Program]],Table2[],9,FALSE)</f>
        <v>0</v>
      </c>
      <c r="T73" s="53">
        <f>Table1[[#This Row],[In Permanent Housing  as of Reporting Date]]/SUM(S73,L73)</f>
        <v>0</v>
      </c>
      <c r="U73" s="48">
        <v>4</v>
      </c>
      <c r="V73" s="48" t="s">
        <v>167</v>
      </c>
    </row>
    <row r="74" spans="1:22" ht="28.8" x14ac:dyDescent="0.3">
      <c r="A74" s="45" t="s">
        <v>168</v>
      </c>
      <c r="B74" s="37">
        <v>45363</v>
      </c>
      <c r="C74" s="37">
        <v>45363</v>
      </c>
      <c r="D74" s="38" t="s">
        <v>23</v>
      </c>
      <c r="E74" s="35" t="s">
        <v>35</v>
      </c>
      <c r="F74" s="38" t="s">
        <v>48</v>
      </c>
      <c r="G74" s="38" t="s">
        <v>48</v>
      </c>
      <c r="H74" s="64">
        <v>110</v>
      </c>
      <c r="I74" s="35" t="s">
        <v>27</v>
      </c>
      <c r="J74" s="69" t="s">
        <v>38</v>
      </c>
      <c r="K74" s="35">
        <f>SUM(Table1[[#This Row],[In Interim Housing as of Reporting Date]:[In Permanent Housing  as of Reporting Date]])</f>
        <v>2</v>
      </c>
      <c r="L74" s="40">
        <f>VLOOKUP(Table1[[#This Row],[Location/Program]],Table2[],2,FALSE)</f>
        <v>0</v>
      </c>
      <c r="M74" s="40">
        <f>VLOOKUP(Table1[[#This Row],[Location/Program]],Table2[],3,FALSE)</f>
        <v>0</v>
      </c>
      <c r="N74" s="40">
        <f>VLOOKUP(Table1[[#This Row],[Location/Program]],Table2[],4,FALSE)</f>
        <v>0</v>
      </c>
      <c r="O74" s="40">
        <f>VLOOKUP(Table1[[#This Row],[Location/Program]],Table2[],5,FALSE)</f>
        <v>0</v>
      </c>
      <c r="P74" s="40">
        <f>VLOOKUP(Table1[[#This Row],[Location/Program]],Table2[],6,FALSE)</f>
        <v>0</v>
      </c>
      <c r="Q74" s="40">
        <f>VLOOKUP(Table1[[#This Row],[Location/Program]],Table2[],7,FALSE)</f>
        <v>0</v>
      </c>
      <c r="R74" s="40">
        <f>VLOOKUP(Table1[[#This Row],[Location/Program]],Table2[],8,FALSE)</f>
        <v>2</v>
      </c>
      <c r="S74" s="40">
        <f>VLOOKUP(Table1[[#This Row],[Location/Program]],Table2[],9,FALSE)</f>
        <v>0</v>
      </c>
      <c r="T74" s="53">
        <v>0</v>
      </c>
      <c r="U74" s="39">
        <v>3</v>
      </c>
      <c r="V74" s="39">
        <v>12</v>
      </c>
    </row>
    <row r="75" spans="1:22" x14ac:dyDescent="0.3">
      <c r="A75" s="45" t="s">
        <v>169</v>
      </c>
      <c r="B75" s="37">
        <v>45363</v>
      </c>
      <c r="C75" s="37">
        <v>45363</v>
      </c>
      <c r="D75" s="38" t="s">
        <v>23</v>
      </c>
      <c r="E75" s="38" t="s">
        <v>24</v>
      </c>
      <c r="F75" s="38" t="s">
        <v>170</v>
      </c>
      <c r="G75" s="38" t="s">
        <v>170</v>
      </c>
      <c r="H75" s="64">
        <v>110</v>
      </c>
      <c r="I75" s="35" t="s">
        <v>27</v>
      </c>
      <c r="J75" s="39">
        <v>10</v>
      </c>
      <c r="K75" s="35">
        <f>SUM(Table1[[#This Row],[In Interim Housing as of Reporting Date]:[In Permanent Housing  as of Reporting Date]])</f>
        <v>10</v>
      </c>
      <c r="L75" s="40">
        <f>VLOOKUP(Table1[[#This Row],[Location/Program]],Table2[],2,FALSE)</f>
        <v>7</v>
      </c>
      <c r="M75" s="40">
        <f>VLOOKUP(Table1[[#This Row],[Location/Program]],Table2[],3,FALSE)</f>
        <v>0</v>
      </c>
      <c r="N75" s="40">
        <f>VLOOKUP(Table1[[#This Row],[Location/Program]],Table2[],4,FALSE)</f>
        <v>0</v>
      </c>
      <c r="O75" s="40">
        <f>VLOOKUP(Table1[[#This Row],[Location/Program]],Table2[],5,FALSE)</f>
        <v>0</v>
      </c>
      <c r="P75" s="40">
        <f>VLOOKUP(Table1[[#This Row],[Location/Program]],Table2[],6,FALSE)</f>
        <v>0</v>
      </c>
      <c r="Q75" s="40">
        <f>VLOOKUP(Table1[[#This Row],[Location/Program]],Table2[],7,FALSE)</f>
        <v>1</v>
      </c>
      <c r="R75" s="40">
        <f>VLOOKUP(Table1[[#This Row],[Location/Program]],Table2[],8,FALSE)</f>
        <v>2</v>
      </c>
      <c r="S75" s="40">
        <f>VLOOKUP(Table1[[#This Row],[Location/Program]],Table2[],9,FALSE)</f>
        <v>0</v>
      </c>
      <c r="T75" s="53">
        <f>Table1[[#This Row],[In Permanent Housing  as of Reporting Date]]/SUM(S75,L75)</f>
        <v>0</v>
      </c>
      <c r="U75" s="39">
        <v>9</v>
      </c>
      <c r="V75" s="39" t="s">
        <v>44</v>
      </c>
    </row>
    <row r="76" spans="1:22" ht="28.8" x14ac:dyDescent="0.3">
      <c r="A76" s="45" t="s">
        <v>171</v>
      </c>
      <c r="B76" s="49">
        <v>45364</v>
      </c>
      <c r="C76" s="49">
        <v>45364</v>
      </c>
      <c r="D76" s="38" t="s">
        <v>23</v>
      </c>
      <c r="E76" s="35" t="s">
        <v>35</v>
      </c>
      <c r="F76" s="38" t="s">
        <v>36</v>
      </c>
      <c r="G76" s="38" t="s">
        <v>48</v>
      </c>
      <c r="H76" s="64">
        <v>110</v>
      </c>
      <c r="I76" s="35" t="s">
        <v>27</v>
      </c>
      <c r="J76" s="69" t="s">
        <v>38</v>
      </c>
      <c r="K76" s="35">
        <f>SUM(Table1[[#This Row],[In Interim Housing as of Reporting Date]:[In Permanent Housing  as of Reporting Date]])</f>
        <v>6</v>
      </c>
      <c r="L76" s="40">
        <f>VLOOKUP(Table1[[#This Row],[Location/Program]],Table2[],2,FALSE)</f>
        <v>6</v>
      </c>
      <c r="M76" s="40">
        <f>VLOOKUP(Table1[[#This Row],[Location/Program]],Table2[],3,FALSE)</f>
        <v>0</v>
      </c>
      <c r="N76" s="40">
        <f>VLOOKUP(Table1[[#This Row],[Location/Program]],Table2[],4,FALSE)</f>
        <v>0</v>
      </c>
      <c r="O76" s="40">
        <f>VLOOKUP(Table1[[#This Row],[Location/Program]],Table2[],5,FALSE)</f>
        <v>0</v>
      </c>
      <c r="P76" s="40">
        <f>VLOOKUP(Table1[[#This Row],[Location/Program]],Table2[],6,FALSE)</f>
        <v>0</v>
      </c>
      <c r="Q76" s="40">
        <f>VLOOKUP(Table1[[#This Row],[Location/Program]],Table2[],7,FALSE)</f>
        <v>0</v>
      </c>
      <c r="R76" s="40">
        <f>VLOOKUP(Table1[[#This Row],[Location/Program]],Table2[],8,FALSE)</f>
        <v>0</v>
      </c>
      <c r="S76" s="40">
        <f>VLOOKUP(Table1[[#This Row],[Location/Program]],Table2[],9,FALSE)</f>
        <v>0</v>
      </c>
      <c r="T76" s="53">
        <f>Table1[[#This Row],[In Permanent Housing  as of Reporting Date]]/SUM(S76,L76)</f>
        <v>0</v>
      </c>
      <c r="U76" s="39">
        <v>2</v>
      </c>
      <c r="V76" s="39" t="s">
        <v>172</v>
      </c>
    </row>
    <row r="77" spans="1:22" ht="28.8" x14ac:dyDescent="0.3">
      <c r="A77" s="45" t="s">
        <v>173</v>
      </c>
      <c r="B77" s="37">
        <v>45366</v>
      </c>
      <c r="C77" s="37">
        <v>45366</v>
      </c>
      <c r="D77" s="38" t="s">
        <v>23</v>
      </c>
      <c r="E77" s="38" t="s">
        <v>24</v>
      </c>
      <c r="F77" s="38" t="s">
        <v>48</v>
      </c>
      <c r="G77" s="38" t="s">
        <v>48</v>
      </c>
      <c r="H77" s="64">
        <v>110</v>
      </c>
      <c r="I77" s="38" t="s">
        <v>27</v>
      </c>
      <c r="J77" s="46" t="s">
        <v>174</v>
      </c>
      <c r="K77" s="35">
        <f>SUM(Table1[[#This Row],[In Interim Housing as of Reporting Date]:[In Permanent Housing  as of Reporting Date]])</f>
        <v>3</v>
      </c>
      <c r="L77" s="40">
        <f>VLOOKUP(Table1[[#This Row],[Location/Program]],Table2[],2,FALSE)</f>
        <v>3</v>
      </c>
      <c r="M77" s="40">
        <f>VLOOKUP(Table1[[#This Row],[Location/Program]],Table2[],3,FALSE)</f>
        <v>0</v>
      </c>
      <c r="N77" s="40">
        <f>VLOOKUP(Table1[[#This Row],[Location/Program]],Table2[],4,FALSE)</f>
        <v>0</v>
      </c>
      <c r="O77" s="40">
        <f>VLOOKUP(Table1[[#This Row],[Location/Program]],Table2[],5,FALSE)</f>
        <v>0</v>
      </c>
      <c r="P77" s="40">
        <f>VLOOKUP(Table1[[#This Row],[Location/Program]],Table2[],6,FALSE)</f>
        <v>0</v>
      </c>
      <c r="Q77" s="40">
        <f>VLOOKUP(Table1[[#This Row],[Location/Program]],Table2[],7,FALSE)</f>
        <v>0</v>
      </c>
      <c r="R77" s="40">
        <f>VLOOKUP(Table1[[#This Row],[Location/Program]],Table2[],8,FALSE)</f>
        <v>0</v>
      </c>
      <c r="S77" s="40">
        <f>VLOOKUP(Table1[[#This Row],[Location/Program]],Table2[],9,FALSE)</f>
        <v>0</v>
      </c>
      <c r="T77" s="53">
        <f>Table1[[#This Row],[In Permanent Housing  as of Reporting Date]]/SUM(S77,L77)</f>
        <v>0</v>
      </c>
      <c r="U77" s="39">
        <v>2</v>
      </c>
      <c r="V77" s="39">
        <v>6</v>
      </c>
    </row>
    <row r="78" spans="1:22" ht="28.8" x14ac:dyDescent="0.3">
      <c r="A78" s="45" t="s">
        <v>175</v>
      </c>
      <c r="B78" s="37">
        <v>45369</v>
      </c>
      <c r="C78" s="37">
        <v>45370</v>
      </c>
      <c r="D78" s="38" t="s">
        <v>23</v>
      </c>
      <c r="E78" s="35" t="s">
        <v>35</v>
      </c>
      <c r="F78" s="38" t="s">
        <v>176</v>
      </c>
      <c r="G78" s="38" t="s">
        <v>177</v>
      </c>
      <c r="H78" s="64">
        <v>110</v>
      </c>
      <c r="I78" s="35" t="s">
        <v>27</v>
      </c>
      <c r="J78" s="69" t="s">
        <v>38</v>
      </c>
      <c r="K78" s="35">
        <f>SUM(Table1[[#This Row],[In Interim Housing as of Reporting Date]:[In Permanent Housing  as of Reporting Date]])</f>
        <v>7</v>
      </c>
      <c r="L78" s="40">
        <f>VLOOKUP(Table1[[#This Row],[Location/Program]],Table2[],2,FALSE)</f>
        <v>7</v>
      </c>
      <c r="M78" s="40">
        <f>VLOOKUP(Table1[[#This Row],[Location/Program]],Table2[],3,FALSE)</f>
        <v>0</v>
      </c>
      <c r="N78" s="40">
        <f>VLOOKUP(Table1[[#This Row],[Location/Program]],Table2[],4,FALSE)</f>
        <v>0</v>
      </c>
      <c r="O78" s="40">
        <f>VLOOKUP(Table1[[#This Row],[Location/Program]],Table2[],5,FALSE)</f>
        <v>0</v>
      </c>
      <c r="P78" s="40">
        <f>VLOOKUP(Table1[[#This Row],[Location/Program]],Table2[],6,FALSE)</f>
        <v>0</v>
      </c>
      <c r="Q78" s="40">
        <f>VLOOKUP(Table1[[#This Row],[Location/Program]],Table2[],7,FALSE)</f>
        <v>0</v>
      </c>
      <c r="R78" s="40">
        <f>VLOOKUP(Table1[[#This Row],[Location/Program]],Table2[],8,FALSE)</f>
        <v>0</v>
      </c>
      <c r="S78" s="40">
        <f>VLOOKUP(Table1[[#This Row],[Location/Program]],Table2[],9,FALSE)</f>
        <v>0</v>
      </c>
      <c r="T78" s="53">
        <f>Table1[[#This Row],[In Permanent Housing  as of Reporting Date]]/SUM(S78,L78)</f>
        <v>0</v>
      </c>
      <c r="U78" s="39">
        <v>15</v>
      </c>
      <c r="V78" s="39" t="s">
        <v>178</v>
      </c>
    </row>
    <row r="79" spans="1:22" ht="28.8" x14ac:dyDescent="0.3">
      <c r="A79" s="45" t="s">
        <v>179</v>
      </c>
      <c r="B79" s="37">
        <v>45372</v>
      </c>
      <c r="C79" s="37">
        <v>45372</v>
      </c>
      <c r="D79" s="38" t="s">
        <v>23</v>
      </c>
      <c r="E79" s="38" t="s">
        <v>24</v>
      </c>
      <c r="F79" s="38" t="s">
        <v>30</v>
      </c>
      <c r="G79" s="38" t="s">
        <v>132</v>
      </c>
      <c r="H79" s="64">
        <v>110</v>
      </c>
      <c r="I79" s="38" t="s">
        <v>27</v>
      </c>
      <c r="J79" s="39">
        <v>21</v>
      </c>
      <c r="K79" s="35">
        <f>SUM(Table1[[#This Row],[In Interim Housing as of Reporting Date]:[In Permanent Housing  as of Reporting Date]])</f>
        <v>17</v>
      </c>
      <c r="L79" s="40">
        <f>VLOOKUP(Table1[[#This Row],[Location/Program]],Table2[],2,FALSE)</f>
        <v>16</v>
      </c>
      <c r="M79" s="40">
        <f>VLOOKUP(Table1[[#This Row],[Location/Program]],Table2[],3,FALSE)</f>
        <v>0</v>
      </c>
      <c r="N79" s="40">
        <f>VLOOKUP(Table1[[#This Row],[Location/Program]],Table2[],4,FALSE)</f>
        <v>0</v>
      </c>
      <c r="O79" s="40">
        <f>VLOOKUP(Table1[[#This Row],[Location/Program]],Table2[],5,FALSE)</f>
        <v>0</v>
      </c>
      <c r="P79" s="40">
        <f>VLOOKUP(Table1[[#This Row],[Location/Program]],Table2[],6,FALSE)</f>
        <v>0</v>
      </c>
      <c r="Q79" s="40">
        <f>VLOOKUP(Table1[[#This Row],[Location/Program]],Table2[],7,FALSE)</f>
        <v>1</v>
      </c>
      <c r="R79" s="40">
        <f>VLOOKUP(Table1[[#This Row],[Location/Program]],Table2[],8,FALSE)</f>
        <v>0</v>
      </c>
      <c r="S79" s="40">
        <f>VLOOKUP(Table1[[#This Row],[Location/Program]],Table2[],9,FALSE)</f>
        <v>0</v>
      </c>
      <c r="T79" s="53">
        <f>Table1[[#This Row],[In Permanent Housing  as of Reporting Date]]/SUM(S79,L79)</f>
        <v>0</v>
      </c>
      <c r="U79" s="39">
        <v>10</v>
      </c>
      <c r="V79" s="39" t="s">
        <v>180</v>
      </c>
    </row>
    <row r="80" spans="1:22" x14ac:dyDescent="0.3">
      <c r="A80" s="45" t="s">
        <v>181</v>
      </c>
      <c r="B80" s="49">
        <v>45378</v>
      </c>
      <c r="C80" s="49">
        <v>45378</v>
      </c>
      <c r="D80" s="38" t="s">
        <v>23</v>
      </c>
      <c r="E80" s="35" t="s">
        <v>35</v>
      </c>
      <c r="F80" s="38" t="s">
        <v>36</v>
      </c>
      <c r="G80" s="38" t="s">
        <v>41</v>
      </c>
      <c r="H80" s="64">
        <v>110</v>
      </c>
      <c r="I80" s="35" t="s">
        <v>27</v>
      </c>
      <c r="J80" s="69" t="s">
        <v>38</v>
      </c>
      <c r="K80" s="35">
        <f>SUM(Table1[[#This Row],[In Interim Housing as of Reporting Date]:[In Permanent Housing  as of Reporting Date]])</f>
        <v>1</v>
      </c>
      <c r="L80" s="40">
        <f>VLOOKUP(Table1[[#This Row],[Location/Program]],Table2[],2,FALSE)</f>
        <v>1</v>
      </c>
      <c r="M80" s="40">
        <f>VLOOKUP(Table1[[#This Row],[Location/Program]],Table2[],3,FALSE)</f>
        <v>0</v>
      </c>
      <c r="N80" s="40">
        <f>VLOOKUP(Table1[[#This Row],[Location/Program]],Table2[],4,FALSE)</f>
        <v>0</v>
      </c>
      <c r="O80" s="40">
        <f>VLOOKUP(Table1[[#This Row],[Location/Program]],Table2[],5,FALSE)</f>
        <v>0</v>
      </c>
      <c r="P80" s="40">
        <f>VLOOKUP(Table1[[#This Row],[Location/Program]],Table2[],6,FALSE)</f>
        <v>0</v>
      </c>
      <c r="Q80" s="40">
        <f>VLOOKUP(Table1[[#This Row],[Location/Program]],Table2[],7,FALSE)</f>
        <v>0</v>
      </c>
      <c r="R80" s="40">
        <f>VLOOKUP(Table1[[#This Row],[Location/Program]],Table2[],8,FALSE)</f>
        <v>0</v>
      </c>
      <c r="S80" s="40">
        <f>VLOOKUP(Table1[[#This Row],[Location/Program]],Table2[],9,FALSE)</f>
        <v>0</v>
      </c>
      <c r="T80" s="53">
        <f>Table1[[#This Row],[In Permanent Housing  as of Reporting Date]]/SUM(S80,L80)</f>
        <v>0</v>
      </c>
      <c r="U80" s="39">
        <v>10</v>
      </c>
      <c r="V80" s="39">
        <v>8</v>
      </c>
    </row>
    <row r="81" spans="1:22" x14ac:dyDescent="0.3">
      <c r="A81" s="56" t="s">
        <v>182</v>
      </c>
      <c r="B81" s="49">
        <v>45378</v>
      </c>
      <c r="C81" s="49">
        <v>45379</v>
      </c>
      <c r="D81" s="38" t="s">
        <v>23</v>
      </c>
      <c r="E81" s="35" t="s">
        <v>35</v>
      </c>
      <c r="F81" s="38" t="s">
        <v>36</v>
      </c>
      <c r="G81" s="42" t="s">
        <v>30</v>
      </c>
      <c r="H81" s="65">
        <v>110</v>
      </c>
      <c r="I81" s="35" t="s">
        <v>27</v>
      </c>
      <c r="J81" s="69" t="s">
        <v>38</v>
      </c>
      <c r="K81" s="35">
        <f>SUM(Table1[[#This Row],[In Interim Housing as of Reporting Date]:[In Permanent Housing  as of Reporting Date]])</f>
        <v>2</v>
      </c>
      <c r="L81" s="40">
        <f>VLOOKUP(Table1[[#This Row],[Location/Program]],Table2[],2,FALSE)</f>
        <v>2</v>
      </c>
      <c r="M81" s="40">
        <f>VLOOKUP(Table1[[#This Row],[Location/Program]],Table2[],3,FALSE)</f>
        <v>0</v>
      </c>
      <c r="N81" s="40">
        <f>VLOOKUP(Table1[[#This Row],[Location/Program]],Table2[],4,FALSE)</f>
        <v>0</v>
      </c>
      <c r="O81" s="40">
        <f>VLOOKUP(Table1[[#This Row],[Location/Program]],Table2[],5,FALSE)</f>
        <v>0</v>
      </c>
      <c r="P81" s="40">
        <f>VLOOKUP(Table1[[#This Row],[Location/Program]],Table2[],6,FALSE)</f>
        <v>0</v>
      </c>
      <c r="Q81" s="40">
        <f>VLOOKUP(Table1[[#This Row],[Location/Program]],Table2[],7,FALSE)</f>
        <v>0</v>
      </c>
      <c r="R81" s="40">
        <f>VLOOKUP(Table1[[#This Row],[Location/Program]],Table2[],8,FALSE)</f>
        <v>0</v>
      </c>
      <c r="S81" s="40">
        <f>VLOOKUP(Table1[[#This Row],[Location/Program]],Table2[],9,FALSE)</f>
        <v>0</v>
      </c>
      <c r="T81" s="53">
        <f>Table1[[#This Row],[In Permanent Housing  as of Reporting Date]]/SUM(S81,L81)</f>
        <v>0</v>
      </c>
      <c r="U81" s="48">
        <v>4</v>
      </c>
      <c r="V81" s="48">
        <v>13</v>
      </c>
    </row>
    <row r="82" spans="1:22" x14ac:dyDescent="0.3">
      <c r="A82" s="45" t="s">
        <v>183</v>
      </c>
      <c r="B82" s="37">
        <v>45378</v>
      </c>
      <c r="C82" s="37">
        <v>45379</v>
      </c>
      <c r="D82" s="38" t="s">
        <v>23</v>
      </c>
      <c r="E82" s="38" t="s">
        <v>24</v>
      </c>
      <c r="F82" s="38" t="s">
        <v>30</v>
      </c>
      <c r="G82" s="38" t="s">
        <v>30</v>
      </c>
      <c r="H82" s="64">
        <v>110</v>
      </c>
      <c r="I82" s="38" t="s">
        <v>27</v>
      </c>
      <c r="J82" s="39">
        <v>16</v>
      </c>
      <c r="K82" s="35">
        <f>SUM(Table1[[#This Row],[In Interim Housing as of Reporting Date]:[In Permanent Housing  as of Reporting Date]])</f>
        <v>19</v>
      </c>
      <c r="L82" s="40">
        <f>VLOOKUP(Table1[[#This Row],[Location/Program]],Table2[],2,FALSE)</f>
        <v>18</v>
      </c>
      <c r="M82" s="40">
        <f>VLOOKUP(Table1[[#This Row],[Location/Program]],Table2[],3,FALSE)</f>
        <v>0</v>
      </c>
      <c r="N82" s="40">
        <f>VLOOKUP(Table1[[#This Row],[Location/Program]],Table2[],4,FALSE)</f>
        <v>0</v>
      </c>
      <c r="O82" s="40">
        <f>VLOOKUP(Table1[[#This Row],[Location/Program]],Table2[],5,FALSE)</f>
        <v>0</v>
      </c>
      <c r="P82" s="40">
        <f>VLOOKUP(Table1[[#This Row],[Location/Program]],Table2[],6,FALSE)</f>
        <v>0</v>
      </c>
      <c r="Q82" s="40">
        <f>VLOOKUP(Table1[[#This Row],[Location/Program]],Table2[],7,FALSE)</f>
        <v>1</v>
      </c>
      <c r="R82" s="40">
        <f>VLOOKUP(Table1[[#This Row],[Location/Program]],Table2[],8,FALSE)</f>
        <v>0</v>
      </c>
      <c r="S82" s="40">
        <f>VLOOKUP(Table1[[#This Row],[Location/Program]],Table2[],9,FALSE)</f>
        <v>0</v>
      </c>
      <c r="T82" s="53">
        <f>Table1[[#This Row],[In Permanent Housing  as of Reporting Date]]/SUM(S82,L82)</f>
        <v>0</v>
      </c>
      <c r="U82" s="39">
        <v>13</v>
      </c>
      <c r="V82" s="39">
        <v>13</v>
      </c>
    </row>
    <row r="83" spans="1:22" x14ac:dyDescent="0.3">
      <c r="A83" s="45" t="s">
        <v>184</v>
      </c>
      <c r="B83" s="49">
        <v>45379</v>
      </c>
      <c r="C83" s="49">
        <v>45379</v>
      </c>
      <c r="D83" s="38" t="s">
        <v>23</v>
      </c>
      <c r="E83" s="35" t="s">
        <v>35</v>
      </c>
      <c r="F83" s="38" t="s">
        <v>130</v>
      </c>
      <c r="G83" s="38" t="s">
        <v>41</v>
      </c>
      <c r="H83" s="63">
        <v>110</v>
      </c>
      <c r="I83" s="35" t="s">
        <v>27</v>
      </c>
      <c r="J83" s="69" t="s">
        <v>38</v>
      </c>
      <c r="K83" s="35">
        <f>SUM(Table1[[#This Row],[In Interim Housing as of Reporting Date]:[In Permanent Housing  as of Reporting Date]])</f>
        <v>1</v>
      </c>
      <c r="L83" s="40">
        <f>VLOOKUP(Table1[[#This Row],[Location/Program]],Table2[],2,FALSE)</f>
        <v>1</v>
      </c>
      <c r="M83" s="40">
        <f>VLOOKUP(Table1[[#This Row],[Location/Program]],Table2[],3,FALSE)</f>
        <v>0</v>
      </c>
      <c r="N83" s="40">
        <f>VLOOKUP(Table1[[#This Row],[Location/Program]],Table2[],4,FALSE)</f>
        <v>0</v>
      </c>
      <c r="O83" s="40">
        <f>VLOOKUP(Table1[[#This Row],[Location/Program]],Table2[],5,FALSE)</f>
        <v>0</v>
      </c>
      <c r="P83" s="40">
        <f>VLOOKUP(Table1[[#This Row],[Location/Program]],Table2[],6,FALSE)</f>
        <v>0</v>
      </c>
      <c r="Q83" s="40">
        <f>VLOOKUP(Table1[[#This Row],[Location/Program]],Table2[],7,FALSE)</f>
        <v>0</v>
      </c>
      <c r="R83" s="40">
        <f>VLOOKUP(Table1[[#This Row],[Location/Program]],Table2[],8,FALSE)</f>
        <v>0</v>
      </c>
      <c r="S83" s="40">
        <f>VLOOKUP(Table1[[#This Row],[Location/Program]],Table2[],9,FALSE)</f>
        <v>0</v>
      </c>
      <c r="T83" s="53">
        <f>Table1[[#This Row],[In Permanent Housing  as of Reporting Date]]/SUM(S83,L83)</f>
        <v>0</v>
      </c>
      <c r="U83" s="39">
        <v>8</v>
      </c>
      <c r="V83" s="39">
        <v>9</v>
      </c>
    </row>
    <row r="84" spans="1:22" x14ac:dyDescent="0.3">
      <c r="A84" s="45" t="s">
        <v>185</v>
      </c>
      <c r="B84" s="37">
        <v>45379</v>
      </c>
      <c r="C84" s="37">
        <v>45379</v>
      </c>
      <c r="D84" s="38" t="s">
        <v>23</v>
      </c>
      <c r="E84" s="38" t="s">
        <v>24</v>
      </c>
      <c r="F84" s="38" t="s">
        <v>65</v>
      </c>
      <c r="G84" s="38" t="s">
        <v>65</v>
      </c>
      <c r="H84" s="64">
        <v>110</v>
      </c>
      <c r="I84" s="38" t="s">
        <v>27</v>
      </c>
      <c r="J84" s="39">
        <v>20</v>
      </c>
      <c r="K84" s="35">
        <f>SUM(Table1[[#This Row],[In Interim Housing as of Reporting Date]:[In Permanent Housing  as of Reporting Date]])</f>
        <v>19</v>
      </c>
      <c r="L84" s="40">
        <f>VLOOKUP(Table1[[#This Row],[Location/Program]],Table2[],2,FALSE)</f>
        <v>16</v>
      </c>
      <c r="M84" s="40">
        <f>VLOOKUP(Table1[[#This Row],[Location/Program]],Table2[],3,FALSE)</f>
        <v>0</v>
      </c>
      <c r="N84" s="40">
        <f>VLOOKUP(Table1[[#This Row],[Location/Program]],Table2[],4,FALSE)</f>
        <v>0</v>
      </c>
      <c r="O84" s="40">
        <f>VLOOKUP(Table1[[#This Row],[Location/Program]],Table2[],5,FALSE)</f>
        <v>0</v>
      </c>
      <c r="P84" s="40">
        <f>VLOOKUP(Table1[[#This Row],[Location/Program]],Table2[],6,FALSE)</f>
        <v>0</v>
      </c>
      <c r="Q84" s="40">
        <f>VLOOKUP(Table1[[#This Row],[Location/Program]],Table2[],7,FALSE)</f>
        <v>1</v>
      </c>
      <c r="R84" s="40">
        <f>VLOOKUP(Table1[[#This Row],[Location/Program]],Table2[],8,FALSE)</f>
        <v>2</v>
      </c>
      <c r="S84" s="40">
        <f>VLOOKUP(Table1[[#This Row],[Location/Program]],Table2[],9,FALSE)</f>
        <v>0</v>
      </c>
      <c r="T84" s="53">
        <f>Table1[[#This Row],[In Permanent Housing  as of Reporting Date]]/SUM(S84,L84)</f>
        <v>0</v>
      </c>
      <c r="U84" s="39">
        <v>7</v>
      </c>
      <c r="V84" s="39">
        <v>7</v>
      </c>
    </row>
    <row r="85" spans="1:22" x14ac:dyDescent="0.3">
      <c r="A85" s="45" t="s">
        <v>186</v>
      </c>
      <c r="B85" s="49">
        <v>45385</v>
      </c>
      <c r="C85" s="49">
        <v>45387</v>
      </c>
      <c r="D85" s="38" t="s">
        <v>23</v>
      </c>
      <c r="E85" s="35" t="s">
        <v>35</v>
      </c>
      <c r="F85" s="38" t="s">
        <v>36</v>
      </c>
      <c r="G85" s="38" t="s">
        <v>41</v>
      </c>
      <c r="H85" s="64">
        <v>110</v>
      </c>
      <c r="I85" s="35" t="s">
        <v>27</v>
      </c>
      <c r="J85" s="69" t="s">
        <v>38</v>
      </c>
      <c r="K85" s="35">
        <f>SUM(Table1[[#This Row],[In Interim Housing as of Reporting Date]:[In Permanent Housing  as of Reporting Date]])</f>
        <v>1</v>
      </c>
      <c r="L85" s="40">
        <f>VLOOKUP(Table1[[#This Row],[Location/Program]],Table2[],2,FALSE)</f>
        <v>1</v>
      </c>
      <c r="M85" s="40">
        <f>VLOOKUP(Table1[[#This Row],[Location/Program]],Table2[],3,FALSE)</f>
        <v>0</v>
      </c>
      <c r="N85" s="40">
        <f>VLOOKUP(Table1[[#This Row],[Location/Program]],Table2[],4,FALSE)</f>
        <v>0</v>
      </c>
      <c r="O85" s="40">
        <f>VLOOKUP(Table1[[#This Row],[Location/Program]],Table2[],5,FALSE)</f>
        <v>0</v>
      </c>
      <c r="P85" s="40">
        <f>VLOOKUP(Table1[[#This Row],[Location/Program]],Table2[],6,FALSE)</f>
        <v>0</v>
      </c>
      <c r="Q85" s="40">
        <f>VLOOKUP(Table1[[#This Row],[Location/Program]],Table2[],7,FALSE)</f>
        <v>0</v>
      </c>
      <c r="R85" s="40">
        <f>VLOOKUP(Table1[[#This Row],[Location/Program]],Table2[],8,FALSE)</f>
        <v>0</v>
      </c>
      <c r="S85" s="40">
        <f>VLOOKUP(Table1[[#This Row],[Location/Program]],Table2[],9,FALSE)</f>
        <v>0</v>
      </c>
      <c r="T85" s="53">
        <f>Table1[[#This Row],[In Permanent Housing  as of Reporting Date]]/SUM(S85,L85)</f>
        <v>0</v>
      </c>
      <c r="U85" s="39">
        <v>10</v>
      </c>
      <c r="V85" s="39">
        <v>9</v>
      </c>
    </row>
    <row r="86" spans="1:22" ht="28.8" x14ac:dyDescent="0.3">
      <c r="A86" s="45" t="s">
        <v>187</v>
      </c>
      <c r="B86" s="49">
        <v>45385</v>
      </c>
      <c r="C86" s="49">
        <v>45385</v>
      </c>
      <c r="D86" s="38" t="s">
        <v>23</v>
      </c>
      <c r="E86" s="35" t="s">
        <v>35</v>
      </c>
      <c r="F86" s="38" t="s">
        <v>36</v>
      </c>
      <c r="G86" s="38" t="s">
        <v>48</v>
      </c>
      <c r="H86" s="64">
        <v>110</v>
      </c>
      <c r="I86" s="35" t="s">
        <v>27</v>
      </c>
      <c r="J86" s="69" t="s">
        <v>38</v>
      </c>
      <c r="K86" s="35">
        <f>SUM(Table1[[#This Row],[In Interim Housing as of Reporting Date]:[In Permanent Housing  as of Reporting Date]])</f>
        <v>2</v>
      </c>
      <c r="L86" s="40">
        <f>VLOOKUP(Table1[[#This Row],[Location/Program]],Table2[],2,FALSE)</f>
        <v>1</v>
      </c>
      <c r="M86" s="40">
        <f>VLOOKUP(Table1[[#This Row],[Location/Program]],Table2[],3,FALSE)</f>
        <v>0</v>
      </c>
      <c r="N86" s="40">
        <f>VLOOKUP(Table1[[#This Row],[Location/Program]],Table2[],4,FALSE)</f>
        <v>0</v>
      </c>
      <c r="O86" s="40">
        <f>VLOOKUP(Table1[[#This Row],[Location/Program]],Table2[],5,FALSE)</f>
        <v>0</v>
      </c>
      <c r="P86" s="40">
        <f>VLOOKUP(Table1[[#This Row],[Location/Program]],Table2[],6,FALSE)</f>
        <v>0</v>
      </c>
      <c r="Q86" s="40">
        <f>VLOOKUP(Table1[[#This Row],[Location/Program]],Table2[],7,FALSE)</f>
        <v>1</v>
      </c>
      <c r="R86" s="40">
        <f>VLOOKUP(Table1[[#This Row],[Location/Program]],Table2[],8,FALSE)</f>
        <v>0</v>
      </c>
      <c r="S86" s="40">
        <f>VLOOKUP(Table1[[#This Row],[Location/Program]],Table2[],9,FALSE)</f>
        <v>0</v>
      </c>
      <c r="T86" s="53">
        <f>Table1[[#This Row],[In Permanent Housing  as of Reporting Date]]/SUM(S86,L86)</f>
        <v>0</v>
      </c>
      <c r="U86" s="39">
        <v>3</v>
      </c>
      <c r="V86" s="39">
        <v>6</v>
      </c>
    </row>
    <row r="87" spans="1:22" x14ac:dyDescent="0.3">
      <c r="A87" s="83" t="s">
        <v>188</v>
      </c>
      <c r="B87" s="49">
        <v>45385</v>
      </c>
      <c r="C87" s="49">
        <v>45385</v>
      </c>
      <c r="D87" s="38" t="s">
        <v>23</v>
      </c>
      <c r="E87" s="35" t="s">
        <v>35</v>
      </c>
      <c r="F87" s="38" t="s">
        <v>36</v>
      </c>
      <c r="G87" s="38" t="s">
        <v>30</v>
      </c>
      <c r="H87" s="64">
        <v>110</v>
      </c>
      <c r="I87" s="35" t="s">
        <v>27</v>
      </c>
      <c r="J87" s="69" t="s">
        <v>38</v>
      </c>
      <c r="K87" s="35">
        <f>SUM(Table1[[#This Row],[In Interim Housing as of Reporting Date]:[In Permanent Housing  as of Reporting Date]])</f>
        <v>1</v>
      </c>
      <c r="L87" s="40">
        <f>VLOOKUP(Table1[[#This Row],[Location/Program]],Table2[],2,FALSE)</f>
        <v>1</v>
      </c>
      <c r="M87" s="40">
        <f>VLOOKUP(Table1[[#This Row],[Location/Program]],Table2[],3,FALSE)</f>
        <v>0</v>
      </c>
      <c r="N87" s="40">
        <f>VLOOKUP(Table1[[#This Row],[Location/Program]],Table2[],4,FALSE)</f>
        <v>0</v>
      </c>
      <c r="O87" s="40">
        <f>VLOOKUP(Table1[[#This Row],[Location/Program]],Table2[],5,FALSE)</f>
        <v>0</v>
      </c>
      <c r="P87" s="40">
        <f>VLOOKUP(Table1[[#This Row],[Location/Program]],Table2[],6,FALSE)</f>
        <v>0</v>
      </c>
      <c r="Q87" s="40">
        <f>VLOOKUP(Table1[[#This Row],[Location/Program]],Table2[],7,FALSE)</f>
        <v>0</v>
      </c>
      <c r="R87" s="40">
        <f>VLOOKUP(Table1[[#This Row],[Location/Program]],Table2[],8,FALSE)</f>
        <v>0</v>
      </c>
      <c r="S87" s="40">
        <f>VLOOKUP(Table1[[#This Row],[Location/Program]],Table2[],9,FALSE)</f>
        <v>0</v>
      </c>
      <c r="T87" s="53">
        <f>Table1[[#This Row],[In Permanent Housing  as of Reporting Date]]/SUM(S87,L87)</f>
        <v>0</v>
      </c>
      <c r="U87" s="30" t="s">
        <v>145</v>
      </c>
      <c r="V87" s="48">
        <v>13</v>
      </c>
    </row>
    <row r="88" spans="1:22" ht="28.8" x14ac:dyDescent="0.3">
      <c r="A88" s="45" t="s">
        <v>189</v>
      </c>
      <c r="B88" s="49">
        <v>45385</v>
      </c>
      <c r="C88" s="49">
        <v>45385</v>
      </c>
      <c r="D88" s="38" t="s">
        <v>23</v>
      </c>
      <c r="E88" s="35" t="s">
        <v>35</v>
      </c>
      <c r="F88" s="38" t="s">
        <v>36</v>
      </c>
      <c r="G88" s="38" t="s">
        <v>48</v>
      </c>
      <c r="H88" s="64">
        <v>110</v>
      </c>
      <c r="I88" s="38" t="s">
        <v>27</v>
      </c>
      <c r="J88" s="69" t="s">
        <v>38</v>
      </c>
      <c r="K88" s="35">
        <f>SUM(Table1[[#This Row],[In Interim Housing as of Reporting Date]:[In Permanent Housing  as of Reporting Date]])</f>
        <v>1</v>
      </c>
      <c r="L88" s="40">
        <f>VLOOKUP(Table1[[#This Row],[Location/Program]],Table2[],2,FALSE)</f>
        <v>1</v>
      </c>
      <c r="M88" s="40">
        <f>VLOOKUP(Table1[[#This Row],[Location/Program]],Table2[],3,FALSE)</f>
        <v>0</v>
      </c>
      <c r="N88" s="40">
        <f>VLOOKUP(Table1[[#This Row],[Location/Program]],Table2[],4,FALSE)</f>
        <v>0</v>
      </c>
      <c r="O88" s="40">
        <f>VLOOKUP(Table1[[#This Row],[Location/Program]],Table2[],5,FALSE)</f>
        <v>0</v>
      </c>
      <c r="P88" s="40">
        <f>VLOOKUP(Table1[[#This Row],[Location/Program]],Table2[],6,FALSE)</f>
        <v>0</v>
      </c>
      <c r="Q88" s="40">
        <f>VLOOKUP(Table1[[#This Row],[Location/Program]],Table2[],7,FALSE)</f>
        <v>0</v>
      </c>
      <c r="R88" s="40">
        <f>VLOOKUP(Table1[[#This Row],[Location/Program]],Table2[],8,FALSE)</f>
        <v>0</v>
      </c>
      <c r="S88" s="40">
        <f>VLOOKUP(Table1[[#This Row],[Location/Program]],Table2[],9,FALSE)</f>
        <v>0</v>
      </c>
      <c r="T88" s="53">
        <f>Table1[[#This Row],[In Permanent Housing  as of Reporting Date]]/SUM(S88,L88)</f>
        <v>0</v>
      </c>
      <c r="U88" s="39">
        <v>2</v>
      </c>
      <c r="V88" s="39">
        <v>6</v>
      </c>
    </row>
    <row r="89" spans="1:22" x14ac:dyDescent="0.3">
      <c r="A89" s="56" t="s">
        <v>190</v>
      </c>
      <c r="B89" s="49">
        <v>45386</v>
      </c>
      <c r="C89" s="49">
        <v>45392</v>
      </c>
      <c r="D89" s="38" t="s">
        <v>23</v>
      </c>
      <c r="E89" s="35" t="s">
        <v>35</v>
      </c>
      <c r="F89" s="38" t="s">
        <v>36</v>
      </c>
      <c r="G89" s="42" t="s">
        <v>30</v>
      </c>
      <c r="H89" s="65">
        <v>110</v>
      </c>
      <c r="I89" s="35" t="s">
        <v>27</v>
      </c>
      <c r="J89" s="69" t="s">
        <v>38</v>
      </c>
      <c r="K89" s="35">
        <f>SUM(Table1[[#This Row],[In Interim Housing as of Reporting Date]:[In Permanent Housing  as of Reporting Date]])</f>
        <v>3</v>
      </c>
      <c r="L89" s="40">
        <f>VLOOKUP(Table1[[#This Row],[Location/Program]],Table2[],2,FALSE)</f>
        <v>3</v>
      </c>
      <c r="M89" s="40">
        <f>VLOOKUP(Table1[[#This Row],[Location/Program]],Table2[],3,FALSE)</f>
        <v>0</v>
      </c>
      <c r="N89" s="40">
        <f>VLOOKUP(Table1[[#This Row],[Location/Program]],Table2[],4,FALSE)</f>
        <v>0</v>
      </c>
      <c r="O89" s="40">
        <f>VLOOKUP(Table1[[#This Row],[Location/Program]],Table2[],5,FALSE)</f>
        <v>0</v>
      </c>
      <c r="P89" s="40">
        <f>VLOOKUP(Table1[[#This Row],[Location/Program]],Table2[],6,FALSE)</f>
        <v>0</v>
      </c>
      <c r="Q89" s="40">
        <f>VLOOKUP(Table1[[#This Row],[Location/Program]],Table2[],7,FALSE)</f>
        <v>0</v>
      </c>
      <c r="R89" s="40">
        <f>VLOOKUP(Table1[[#This Row],[Location/Program]],Table2[],8,FALSE)</f>
        <v>0</v>
      </c>
      <c r="S89" s="40">
        <f>VLOOKUP(Table1[[#This Row],[Location/Program]],Table2[],9,FALSE)</f>
        <v>0</v>
      </c>
      <c r="T89" s="53">
        <f>Table1[[#This Row],[In Permanent Housing  as of Reporting Date]]/SUM(S89,L89)</f>
        <v>0</v>
      </c>
      <c r="U89" s="48">
        <v>4</v>
      </c>
      <c r="V89" s="48">
        <v>13</v>
      </c>
    </row>
    <row r="90" spans="1:22" x14ac:dyDescent="0.3">
      <c r="A90" s="45" t="s">
        <v>191</v>
      </c>
      <c r="B90" s="49">
        <v>45387</v>
      </c>
      <c r="C90" s="49">
        <v>45387</v>
      </c>
      <c r="D90" s="38" t="s">
        <v>23</v>
      </c>
      <c r="E90" s="35" t="s">
        <v>35</v>
      </c>
      <c r="F90" s="38" t="s">
        <v>36</v>
      </c>
      <c r="G90" s="38" t="s">
        <v>63</v>
      </c>
      <c r="H90" s="64">
        <v>110</v>
      </c>
      <c r="I90" s="35" t="s">
        <v>27</v>
      </c>
      <c r="J90" s="69" t="s">
        <v>38</v>
      </c>
      <c r="K90" s="35">
        <f>SUM(Table1[[#This Row],[In Interim Housing as of Reporting Date]:[In Permanent Housing  as of Reporting Date]])</f>
        <v>2</v>
      </c>
      <c r="L90" s="40">
        <f>VLOOKUP(Table1[[#This Row],[Location/Program]],Table2[],2,FALSE)</f>
        <v>2</v>
      </c>
      <c r="M90" s="40">
        <f>VLOOKUP(Table1[[#This Row],[Location/Program]],Table2[],3,FALSE)</f>
        <v>0</v>
      </c>
      <c r="N90" s="40">
        <f>VLOOKUP(Table1[[#This Row],[Location/Program]],Table2[],4,FALSE)</f>
        <v>0</v>
      </c>
      <c r="O90" s="40">
        <f>VLOOKUP(Table1[[#This Row],[Location/Program]],Table2[],5,FALSE)</f>
        <v>0</v>
      </c>
      <c r="P90" s="40">
        <f>VLOOKUP(Table1[[#This Row],[Location/Program]],Table2[],6,FALSE)</f>
        <v>0</v>
      </c>
      <c r="Q90" s="40">
        <f>VLOOKUP(Table1[[#This Row],[Location/Program]],Table2[],7,FALSE)</f>
        <v>0</v>
      </c>
      <c r="R90" s="40">
        <f>VLOOKUP(Table1[[#This Row],[Location/Program]],Table2[],8,FALSE)</f>
        <v>0</v>
      </c>
      <c r="S90" s="40">
        <f>VLOOKUP(Table1[[#This Row],[Location/Program]],Table2[],9,FALSE)</f>
        <v>0</v>
      </c>
      <c r="T90" s="53">
        <f>Table1[[#This Row],[In Permanent Housing  as of Reporting Date]]/SUM(S90,L90)</f>
        <v>0</v>
      </c>
      <c r="U90" s="39">
        <v>8</v>
      </c>
      <c r="V90" s="39">
        <v>6</v>
      </c>
    </row>
    <row r="91" spans="1:22" ht="28.8" x14ac:dyDescent="0.3">
      <c r="A91" s="45" t="s">
        <v>192</v>
      </c>
      <c r="B91" s="49">
        <v>45391</v>
      </c>
      <c r="C91" s="49">
        <v>45391</v>
      </c>
      <c r="D91" s="38" t="s">
        <v>23</v>
      </c>
      <c r="E91" s="35" t="s">
        <v>35</v>
      </c>
      <c r="F91" s="38" t="s">
        <v>36</v>
      </c>
      <c r="G91" s="38" t="s">
        <v>48</v>
      </c>
      <c r="H91" s="64">
        <v>110</v>
      </c>
      <c r="I91" s="35" t="s">
        <v>27</v>
      </c>
      <c r="J91" s="69" t="s">
        <v>38</v>
      </c>
      <c r="K91" s="35">
        <f>SUM(Table1[[#This Row],[In Interim Housing as of Reporting Date]:[In Permanent Housing  as of Reporting Date]])</f>
        <v>4</v>
      </c>
      <c r="L91" s="40">
        <f>VLOOKUP(Table1[[#This Row],[Location/Program]],Table2[],2,FALSE)</f>
        <v>4</v>
      </c>
      <c r="M91" s="40">
        <f>VLOOKUP(Table1[[#This Row],[Location/Program]],Table2[],3,FALSE)</f>
        <v>0</v>
      </c>
      <c r="N91" s="40">
        <f>VLOOKUP(Table1[[#This Row],[Location/Program]],Table2[],4,FALSE)</f>
        <v>0</v>
      </c>
      <c r="O91" s="40">
        <f>VLOOKUP(Table1[[#This Row],[Location/Program]],Table2[],5,FALSE)</f>
        <v>0</v>
      </c>
      <c r="P91" s="40">
        <f>VLOOKUP(Table1[[#This Row],[Location/Program]],Table2[],6,FALSE)</f>
        <v>0</v>
      </c>
      <c r="Q91" s="40">
        <f>VLOOKUP(Table1[[#This Row],[Location/Program]],Table2[],7,FALSE)</f>
        <v>0</v>
      </c>
      <c r="R91" s="40">
        <f>VLOOKUP(Table1[[#This Row],[Location/Program]],Table2[],8,FALSE)</f>
        <v>0</v>
      </c>
      <c r="S91" s="40">
        <f>VLOOKUP(Table1[[#This Row],[Location/Program]],Table2[],9,FALSE)</f>
        <v>0</v>
      </c>
      <c r="T91" s="53">
        <f>Table1[[#This Row],[In Permanent Housing  as of Reporting Date]]/SUM(S91,L91)</f>
        <v>0</v>
      </c>
      <c r="U91" s="39">
        <v>3</v>
      </c>
      <c r="V91" s="39">
        <v>12</v>
      </c>
    </row>
    <row r="92" spans="1:22" ht="28.8" x14ac:dyDescent="0.3">
      <c r="A92" s="45" t="s">
        <v>193</v>
      </c>
      <c r="B92" s="50">
        <v>45392</v>
      </c>
      <c r="C92" s="37">
        <v>45392</v>
      </c>
      <c r="D92" s="38" t="s">
        <v>23</v>
      </c>
      <c r="E92" s="38" t="s">
        <v>24</v>
      </c>
      <c r="F92" s="38" t="s">
        <v>41</v>
      </c>
      <c r="G92" s="38" t="s">
        <v>194</v>
      </c>
      <c r="H92" s="64">
        <v>110</v>
      </c>
      <c r="I92" s="38" t="s">
        <v>27</v>
      </c>
      <c r="J92" s="39">
        <v>6</v>
      </c>
      <c r="K92" s="35">
        <f>SUM(Table1[[#This Row],[In Interim Housing as of Reporting Date]:[In Permanent Housing  as of Reporting Date]])</f>
        <v>10</v>
      </c>
      <c r="L92" s="40">
        <f>VLOOKUP(Table1[[#This Row],[Location/Program]],Table2[],2,FALSE)</f>
        <v>10</v>
      </c>
      <c r="M92" s="40">
        <f>VLOOKUP(Table1[[#This Row],[Location/Program]],Table2[],3,FALSE)</f>
        <v>0</v>
      </c>
      <c r="N92" s="40">
        <f>VLOOKUP(Table1[[#This Row],[Location/Program]],Table2[],4,FALSE)</f>
        <v>0</v>
      </c>
      <c r="O92" s="40">
        <f>VLOOKUP(Table1[[#This Row],[Location/Program]],Table2[],5,FALSE)</f>
        <v>0</v>
      </c>
      <c r="P92" s="40">
        <f>VLOOKUP(Table1[[#This Row],[Location/Program]],Table2[],6,FALSE)</f>
        <v>0</v>
      </c>
      <c r="Q92" s="40">
        <f>VLOOKUP(Table1[[#This Row],[Location/Program]],Table2[],7,FALSE)</f>
        <v>0</v>
      </c>
      <c r="R92" s="40">
        <f>VLOOKUP(Table1[[#This Row],[Location/Program]],Table2[],8,FALSE)</f>
        <v>0</v>
      </c>
      <c r="S92" s="40">
        <f>VLOOKUP(Table1[[#This Row],[Location/Program]],Table2[],9,FALSE)</f>
        <v>0</v>
      </c>
      <c r="T92" s="53">
        <f>Table1[[#This Row],[In Permanent Housing  as of Reporting Date]]/SUM(S92,L92)</f>
        <v>0</v>
      </c>
      <c r="U92" s="39">
        <v>9</v>
      </c>
      <c r="V92" s="39" t="s">
        <v>195</v>
      </c>
    </row>
    <row r="93" spans="1:22" x14ac:dyDescent="0.3">
      <c r="A93" s="45" t="s">
        <v>196</v>
      </c>
      <c r="B93" s="49">
        <v>45392</v>
      </c>
      <c r="C93" s="49">
        <v>45392</v>
      </c>
      <c r="D93" s="38" t="s">
        <v>23</v>
      </c>
      <c r="E93" s="35" t="s">
        <v>35</v>
      </c>
      <c r="F93" s="38" t="s">
        <v>36</v>
      </c>
      <c r="G93" s="38" t="s">
        <v>63</v>
      </c>
      <c r="H93" s="64">
        <v>110</v>
      </c>
      <c r="I93" s="38" t="s">
        <v>27</v>
      </c>
      <c r="J93" s="69" t="s">
        <v>38</v>
      </c>
      <c r="K93" s="35">
        <f>SUM(Table1[[#This Row],[In Interim Housing as of Reporting Date]:[In Permanent Housing  as of Reporting Date]])</f>
        <v>2</v>
      </c>
      <c r="L93" s="40">
        <f>VLOOKUP(Table1[[#This Row],[Location/Program]],Table2[],2,FALSE)</f>
        <v>2</v>
      </c>
      <c r="M93" s="40">
        <f>VLOOKUP(Table1[[#This Row],[Location/Program]],Table2[],3,FALSE)</f>
        <v>0</v>
      </c>
      <c r="N93" s="40">
        <f>VLOOKUP(Table1[[#This Row],[Location/Program]],Table2[],4,FALSE)</f>
        <v>0</v>
      </c>
      <c r="O93" s="40">
        <f>VLOOKUP(Table1[[#This Row],[Location/Program]],Table2[],5,FALSE)</f>
        <v>0</v>
      </c>
      <c r="P93" s="40">
        <f>VLOOKUP(Table1[[#This Row],[Location/Program]],Table2[],6,FALSE)</f>
        <v>0</v>
      </c>
      <c r="Q93" s="40">
        <f>VLOOKUP(Table1[[#This Row],[Location/Program]],Table2[],7,FALSE)</f>
        <v>0</v>
      </c>
      <c r="R93" s="40">
        <f>VLOOKUP(Table1[[#This Row],[Location/Program]],Table2[],8,FALSE)</f>
        <v>0</v>
      </c>
      <c r="S93" s="40">
        <f>VLOOKUP(Table1[[#This Row],[Location/Program]],Table2[],9,FALSE)</f>
        <v>0</v>
      </c>
      <c r="T93" s="53">
        <f>Table1[[#This Row],[In Permanent Housing  as of Reporting Date]]/SUM(S93,L93)</f>
        <v>0</v>
      </c>
      <c r="U93" s="39">
        <v>1</v>
      </c>
      <c r="V93" s="39">
        <v>12</v>
      </c>
    </row>
    <row r="94" spans="1:22" x14ac:dyDescent="0.3">
      <c r="A94" s="45" t="s">
        <v>197</v>
      </c>
      <c r="B94" s="37">
        <v>45393</v>
      </c>
      <c r="C94" s="37">
        <v>45393</v>
      </c>
      <c r="D94" s="38" t="s">
        <v>23</v>
      </c>
      <c r="E94" s="38" t="s">
        <v>24</v>
      </c>
      <c r="F94" s="38" t="s">
        <v>170</v>
      </c>
      <c r="G94" s="38" t="s">
        <v>88</v>
      </c>
      <c r="H94" s="64">
        <v>110</v>
      </c>
      <c r="I94" s="38" t="s">
        <v>27</v>
      </c>
      <c r="J94" s="39">
        <v>60</v>
      </c>
      <c r="K94" s="35">
        <f>SUM(Table1[[#This Row],[In Interim Housing as of Reporting Date]:[In Permanent Housing  as of Reporting Date]])</f>
        <v>39</v>
      </c>
      <c r="L94" s="40">
        <f>VLOOKUP(Table1[[#This Row],[Location/Program]],Table2[],2,FALSE)</f>
        <v>39</v>
      </c>
      <c r="M94" s="40">
        <f>VLOOKUP(Table1[[#This Row],[Location/Program]],Table2[],3,FALSE)</f>
        <v>0</v>
      </c>
      <c r="N94" s="40">
        <f>VLOOKUP(Table1[[#This Row],[Location/Program]],Table2[],4,FALSE)</f>
        <v>0</v>
      </c>
      <c r="O94" s="40">
        <f>VLOOKUP(Table1[[#This Row],[Location/Program]],Table2[],5,FALSE)</f>
        <v>0</v>
      </c>
      <c r="P94" s="40">
        <f>VLOOKUP(Table1[[#This Row],[Location/Program]],Table2[],6,FALSE)</f>
        <v>0</v>
      </c>
      <c r="Q94" s="40">
        <f>VLOOKUP(Table1[[#This Row],[Location/Program]],Table2[],7,FALSE)</f>
        <v>0</v>
      </c>
      <c r="R94" s="40">
        <f>VLOOKUP(Table1[[#This Row],[Location/Program]],Table2[],8,FALSE)</f>
        <v>0</v>
      </c>
      <c r="S94" s="40">
        <f>VLOOKUP(Table1[[#This Row],[Location/Program]],Table2[],9,FALSE)</f>
        <v>0</v>
      </c>
      <c r="T94" s="53">
        <f>Table1[[#This Row],[In Permanent Housing  as of Reporting Date]]/SUM(S94,L94)</f>
        <v>0</v>
      </c>
      <c r="U94" s="39">
        <v>15</v>
      </c>
      <c r="V94" s="39">
        <v>15</v>
      </c>
    </row>
    <row r="95" spans="1:22" x14ac:dyDescent="0.3">
      <c r="A95" s="45" t="s">
        <v>198</v>
      </c>
      <c r="B95" s="49">
        <v>45398</v>
      </c>
      <c r="C95" s="49">
        <v>45399</v>
      </c>
      <c r="D95" s="38" t="s">
        <v>23</v>
      </c>
      <c r="E95" s="35" t="s">
        <v>35</v>
      </c>
      <c r="F95" s="38" t="s">
        <v>36</v>
      </c>
      <c r="G95" s="38" t="s">
        <v>88</v>
      </c>
      <c r="H95" s="64">
        <v>110</v>
      </c>
      <c r="I95" s="35" t="s">
        <v>27</v>
      </c>
      <c r="J95" s="69" t="s">
        <v>38</v>
      </c>
      <c r="K95" s="35">
        <f>SUM(Table1[[#This Row],[In Interim Housing as of Reporting Date]:[In Permanent Housing  as of Reporting Date]])</f>
        <v>5</v>
      </c>
      <c r="L95" s="40">
        <f>VLOOKUP(Table1[[#This Row],[Location/Program]],Table2[],2,FALSE)</f>
        <v>5</v>
      </c>
      <c r="M95" s="40">
        <f>VLOOKUP(Table1[[#This Row],[Location/Program]],Table2[],3,FALSE)</f>
        <v>0</v>
      </c>
      <c r="N95" s="40">
        <f>VLOOKUP(Table1[[#This Row],[Location/Program]],Table2[],4,FALSE)</f>
        <v>0</v>
      </c>
      <c r="O95" s="40">
        <f>VLOOKUP(Table1[[#This Row],[Location/Program]],Table2[],5,FALSE)</f>
        <v>0</v>
      </c>
      <c r="P95" s="40">
        <f>VLOOKUP(Table1[[#This Row],[Location/Program]],Table2[],6,FALSE)</f>
        <v>0</v>
      </c>
      <c r="Q95" s="40">
        <f>VLOOKUP(Table1[[#This Row],[Location/Program]],Table2[],7,FALSE)</f>
        <v>0</v>
      </c>
      <c r="R95" s="40">
        <f>VLOOKUP(Table1[[#This Row],[Location/Program]],Table2[],8,FALSE)</f>
        <v>0</v>
      </c>
      <c r="S95" s="40">
        <f>VLOOKUP(Table1[[#This Row],[Location/Program]],Table2[],9,FALSE)</f>
        <v>0</v>
      </c>
      <c r="T95" s="53">
        <f>Table1[[#This Row],[In Permanent Housing  as of Reporting Date]]/SUM(S95,L95)</f>
        <v>0</v>
      </c>
      <c r="U95" s="39">
        <v>15</v>
      </c>
      <c r="V95" s="39" t="s">
        <v>44</v>
      </c>
    </row>
    <row r="96" spans="1:22" ht="28.8" x14ac:dyDescent="0.3">
      <c r="A96" s="45" t="s">
        <v>199</v>
      </c>
      <c r="B96" s="49">
        <v>45399</v>
      </c>
      <c r="C96" s="49">
        <v>45399</v>
      </c>
      <c r="D96" s="38" t="s">
        <v>23</v>
      </c>
      <c r="E96" s="35" t="s">
        <v>35</v>
      </c>
      <c r="F96" s="38" t="s">
        <v>36</v>
      </c>
      <c r="G96" s="38" t="s">
        <v>48</v>
      </c>
      <c r="H96" s="64">
        <v>110</v>
      </c>
      <c r="I96" s="38" t="s">
        <v>27</v>
      </c>
      <c r="J96" s="69" t="s">
        <v>38</v>
      </c>
      <c r="K96" s="35">
        <f>SUM(Table1[[#This Row],[In Interim Housing as of Reporting Date]:[In Permanent Housing  as of Reporting Date]])</f>
        <v>4</v>
      </c>
      <c r="L96" s="40">
        <f>VLOOKUP(Table1[[#This Row],[Location/Program]],Table2[],2,FALSE)</f>
        <v>3</v>
      </c>
      <c r="M96" s="40">
        <f>VLOOKUP(Table1[[#This Row],[Location/Program]],Table2[],3,FALSE)</f>
        <v>0</v>
      </c>
      <c r="N96" s="40">
        <f>VLOOKUP(Table1[[#This Row],[Location/Program]],Table2[],4,FALSE)</f>
        <v>0</v>
      </c>
      <c r="O96" s="40">
        <f>VLOOKUP(Table1[[#This Row],[Location/Program]],Table2[],5,FALSE)</f>
        <v>0</v>
      </c>
      <c r="P96" s="40">
        <f>VLOOKUP(Table1[[#This Row],[Location/Program]],Table2[],6,FALSE)</f>
        <v>0</v>
      </c>
      <c r="Q96" s="40">
        <f>VLOOKUP(Table1[[#This Row],[Location/Program]],Table2[],7,FALSE)</f>
        <v>0</v>
      </c>
      <c r="R96" s="40">
        <f>VLOOKUP(Table1[[#This Row],[Location/Program]],Table2[],8,FALSE)</f>
        <v>1</v>
      </c>
      <c r="S96" s="40">
        <f>VLOOKUP(Table1[[#This Row],[Location/Program]],Table2[],9,FALSE)</f>
        <v>0</v>
      </c>
      <c r="T96" s="53">
        <f>Table1[[#This Row],[In Permanent Housing  as of Reporting Date]]/SUM(S96,L96)</f>
        <v>0</v>
      </c>
      <c r="U96" s="39">
        <v>4</v>
      </c>
      <c r="V96" s="39">
        <v>12</v>
      </c>
    </row>
    <row r="97" spans="1:22" ht="28.8" x14ac:dyDescent="0.3">
      <c r="A97" s="57" t="s">
        <v>200</v>
      </c>
      <c r="B97" s="58">
        <v>45399</v>
      </c>
      <c r="C97" s="44">
        <v>45399</v>
      </c>
      <c r="D97" s="38" t="s">
        <v>23</v>
      </c>
      <c r="E97" s="43" t="s">
        <v>24</v>
      </c>
      <c r="F97" s="43" t="s">
        <v>63</v>
      </c>
      <c r="G97" s="43" t="s">
        <v>201</v>
      </c>
      <c r="H97" s="66">
        <v>110</v>
      </c>
      <c r="I97" s="43" t="s">
        <v>27</v>
      </c>
      <c r="J97" s="59">
        <v>30</v>
      </c>
      <c r="K97" s="60">
        <f>SUM(Table1[[#This Row],[In Interim Housing as of Reporting Date]:[In Permanent Housing  as of Reporting Date]])</f>
        <v>37</v>
      </c>
      <c r="L97" s="40">
        <f>VLOOKUP(Table1[[#This Row],[Location/Program]],Table2[],2,FALSE)</f>
        <v>35</v>
      </c>
      <c r="M97" s="40">
        <f>VLOOKUP(Table1[[#This Row],[Location/Program]],Table2[],3,FALSE)</f>
        <v>0</v>
      </c>
      <c r="N97" s="40">
        <f>VLOOKUP(Table1[[#This Row],[Location/Program]],Table2[],4,FALSE)</f>
        <v>0</v>
      </c>
      <c r="O97" s="40">
        <f>VLOOKUP(Table1[[#This Row],[Location/Program]],Table2[],5,FALSE)</f>
        <v>0</v>
      </c>
      <c r="P97" s="40">
        <f>VLOOKUP(Table1[[#This Row],[Location/Program]],Table2[],6,FALSE)</f>
        <v>0</v>
      </c>
      <c r="Q97" s="40">
        <f>VLOOKUP(Table1[[#This Row],[Location/Program]],Table2[],7,FALSE)</f>
        <v>1</v>
      </c>
      <c r="R97" s="40">
        <f>VLOOKUP(Table1[[#This Row],[Location/Program]],Table2[],8,FALSE)</f>
        <v>1</v>
      </c>
      <c r="S97" s="40">
        <f>VLOOKUP(Table1[[#This Row],[Location/Program]],Table2[],9,FALSE)</f>
        <v>0</v>
      </c>
      <c r="T97" s="53">
        <f>Table1[[#This Row],[In Permanent Housing  as of Reporting Date]]/SUM(S97,L97)</f>
        <v>0</v>
      </c>
      <c r="U97" s="61">
        <v>8</v>
      </c>
      <c r="V97" s="61" t="s">
        <v>202</v>
      </c>
    </row>
  </sheetData>
  <sortState xmlns:xlrd2="http://schemas.microsoft.com/office/spreadsheetml/2017/richdata2" ref="B2:B1048574">
    <sortCondition ref="B2:B1048574"/>
  </sortState>
  <phoneticPr fontId="3" type="noConversion"/>
  <dataValidations count="1">
    <dataValidation allowBlank="1" showInputMessage="1" showErrorMessage="1" sqref="V13 U1:U1048576 V22 V25 V27:V34" xr:uid="{B4698B8B-A687-47DB-B833-28BC01FD9EEF}"/>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C72B-4438-4F8E-B56F-80D438D0BB88}">
  <dimension ref="A1:A15"/>
  <sheetViews>
    <sheetView showGridLines="0" workbookViewId="0">
      <selection activeCell="A22" sqref="A22"/>
    </sheetView>
  </sheetViews>
  <sheetFormatPr defaultRowHeight="14.4" x14ac:dyDescent="0.3"/>
  <cols>
    <col min="1" max="1" width="99.33203125" style="2" customWidth="1"/>
  </cols>
  <sheetData>
    <row r="1" spans="1:1" ht="44.4" customHeight="1" x14ac:dyDescent="0.3">
      <c r="A1" s="7" t="s">
        <v>203</v>
      </c>
    </row>
    <row r="2" spans="1:1" x14ac:dyDescent="0.3">
      <c r="A2" s="8" t="s">
        <v>204</v>
      </c>
    </row>
    <row r="3" spans="1:1" x14ac:dyDescent="0.3">
      <c r="A3" s="9" t="s">
        <v>205</v>
      </c>
    </row>
    <row r="4" spans="1:1" x14ac:dyDescent="0.3">
      <c r="A4" s="9" t="s">
        <v>206</v>
      </c>
    </row>
    <row r="5" spans="1:1" x14ac:dyDescent="0.3">
      <c r="A5" s="9" t="s">
        <v>207</v>
      </c>
    </row>
    <row r="6" spans="1:1" x14ac:dyDescent="0.3">
      <c r="A6" s="9" t="s">
        <v>208</v>
      </c>
    </row>
    <row r="7" spans="1:1" x14ac:dyDescent="0.3">
      <c r="A7" s="9" t="s">
        <v>209</v>
      </c>
    </row>
    <row r="8" spans="1:1" x14ac:dyDescent="0.3">
      <c r="A8" s="9" t="s">
        <v>210</v>
      </c>
    </row>
    <row r="9" spans="1:1" x14ac:dyDescent="0.3">
      <c r="A9" s="9" t="s">
        <v>211</v>
      </c>
    </row>
    <row r="10" spans="1:1" ht="43.2" x14ac:dyDescent="0.3">
      <c r="A10" s="9" t="s">
        <v>212</v>
      </c>
    </row>
    <row r="11" spans="1:1" x14ac:dyDescent="0.3">
      <c r="A11" s="9" t="s">
        <v>213</v>
      </c>
    </row>
    <row r="12" spans="1:1" x14ac:dyDescent="0.3">
      <c r="A12" s="9" t="s">
        <v>214</v>
      </c>
    </row>
    <row r="13" spans="1:1" x14ac:dyDescent="0.3">
      <c r="A13" s="9" t="s">
        <v>215</v>
      </c>
    </row>
    <row r="14" spans="1:1" x14ac:dyDescent="0.3">
      <c r="A14" s="9" t="s">
        <v>216</v>
      </c>
    </row>
    <row r="15" spans="1:1" x14ac:dyDescent="0.3">
      <c r="A15" s="10"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2E17-616E-4FC5-B8E4-30437A2DDDC0}">
  <dimension ref="A1:P18"/>
  <sheetViews>
    <sheetView showGridLines="0" workbookViewId="0">
      <pane xSplit="1" ySplit="1" topLeftCell="B2" activePane="bottomRight" state="frozen"/>
      <selection pane="topRight"/>
      <selection pane="bottomLeft"/>
      <selection pane="bottomRight" activeCell="L16" sqref="L16"/>
    </sheetView>
  </sheetViews>
  <sheetFormatPr defaultRowHeight="15" customHeight="1" x14ac:dyDescent="0.3"/>
  <cols>
    <col min="1" max="1" width="23.109375" style="1" customWidth="1"/>
    <col min="2" max="2" width="21.88671875" customWidth="1"/>
    <col min="3" max="3" width="22.33203125" customWidth="1"/>
    <col min="4" max="5" width="22.5546875" customWidth="1"/>
    <col min="6" max="11" width="21.88671875" customWidth="1"/>
    <col min="12" max="12" width="21.88671875" style="3" customWidth="1"/>
    <col min="13" max="13" width="21.33203125" customWidth="1"/>
    <col min="14" max="14" width="22.5546875" customWidth="1"/>
    <col min="15" max="15" width="22.33203125" customWidth="1"/>
    <col min="16" max="16" width="16.33203125" customWidth="1"/>
  </cols>
  <sheetData>
    <row r="1" spans="1:16" s="4" customFormat="1" ht="114.75" customHeight="1" x14ac:dyDescent="0.35">
      <c r="A1" s="11" t="s">
        <v>218</v>
      </c>
      <c r="B1" s="5" t="s">
        <v>219</v>
      </c>
      <c r="C1" s="5" t="s">
        <v>10</v>
      </c>
      <c r="D1" s="5" t="s">
        <v>220</v>
      </c>
      <c r="E1" s="5" t="s">
        <v>221</v>
      </c>
      <c r="F1" s="5" t="s">
        <v>222</v>
      </c>
      <c r="G1" s="5" t="s">
        <v>223</v>
      </c>
      <c r="H1" s="80" t="s">
        <v>224</v>
      </c>
      <c r="I1" s="80" t="s">
        <v>225</v>
      </c>
      <c r="J1" s="5" t="s">
        <v>226</v>
      </c>
      <c r="K1" s="5" t="s">
        <v>227</v>
      </c>
      <c r="L1" s="27" t="s">
        <v>228</v>
      </c>
      <c r="M1" s="21" t="s">
        <v>229</v>
      </c>
      <c r="N1" s="20" t="s">
        <v>230</v>
      </c>
      <c r="O1" s="24" t="s">
        <v>231</v>
      </c>
      <c r="P1" s="20" t="s">
        <v>232</v>
      </c>
    </row>
    <row r="2" spans="1:16" s="4" customFormat="1" ht="18" x14ac:dyDescent="0.35">
      <c r="A2" s="12" t="s">
        <v>233</v>
      </c>
      <c r="B2" s="13">
        <f>SUM('Matrix - Per Operation'!J2:'Matrix - Per Operation'!J97)+(156)+(100)+(100)+(50)+(15)+(7)</f>
        <v>2094</v>
      </c>
      <c r="C2" s="13">
        <f>'Deduplicated Source Data'!J99</f>
        <v>2718</v>
      </c>
      <c r="D2" s="13">
        <f>'Deduplicated Source Data'!B99</f>
        <v>1492</v>
      </c>
      <c r="E2" s="13">
        <f>'Deduplicated Source Data'!C99</f>
        <v>42</v>
      </c>
      <c r="F2" s="13">
        <f>'Deduplicated Source Data'!D99</f>
        <v>40</v>
      </c>
      <c r="G2" s="13">
        <f>'Deduplicated Source Data'!E99</f>
        <v>10</v>
      </c>
      <c r="H2" s="13">
        <f>'Deduplicated Source Data'!F99</f>
        <v>4</v>
      </c>
      <c r="I2" s="13">
        <f>'Deduplicated Source Data'!G99</f>
        <v>427</v>
      </c>
      <c r="J2" s="13">
        <f>'Deduplicated Source Data'!H99</f>
        <v>220</v>
      </c>
      <c r="K2" s="13">
        <f>'Deduplicated Source Data'!I99</f>
        <v>483</v>
      </c>
      <c r="L2" s="14">
        <f>K2/SUM(D2,K2)</f>
        <v>0.24455696202531646</v>
      </c>
      <c r="M2" s="13">
        <f>COUNTA('Matrix - Per Operation'!A2:'Matrix - Per Operation'!A97)</f>
        <v>96</v>
      </c>
      <c r="N2" s="23">
        <f>COUNTIF('Matrix - Per Operation'!E2:E97, "*Encampment*")</f>
        <v>48</v>
      </c>
      <c r="O2" s="26">
        <f>COUNTIF('Matrix - Per Operation'!E2:E97, "*Repop*")</f>
        <v>39</v>
      </c>
      <c r="P2" s="22" t="e" cm="1">
        <f t="array" ref="P2">ROUNDUP((SUMPRODUCT(--(ISNUMBER(SEARCH(", ", ", " &amp; TRIM(SUBSTITUTE('Matrix - Per Operation'!#REF!, ",", ", ")) &amp; ", ")))) / 2) + COUNTIF('Matrix - Per Operation'!#REF!, "&lt;&gt;*" &amp; SUBSTITUTE(" ", ",", "") &amp; "*"), 0)</f>
        <v>#REF!</v>
      </c>
    </row>
    <row r="3" spans="1:16" ht="14.4" x14ac:dyDescent="0.3">
      <c r="A3" s="15" t="s">
        <v>234</v>
      </c>
      <c r="B3" s="6">
        <f>SUMIF('Matrix - Per Operation'!U2:'Matrix - Per Operation'!U97, 1, 'Matrix - Per Operation'!J2:'Matrix - Per Operation'!J97)+100</f>
        <v>161</v>
      </c>
      <c r="C3" s="6">
        <f>SUMIF('Matrix - Per Operation'!U2:'Matrix - Per Operation'!U97, 1, 'Matrix - Per Operation'!K2:'Matrix - Per Operation'!K97)</f>
        <v>89</v>
      </c>
      <c r="D3" s="6">
        <f>SUMIF('Matrix - Per Operation'!U2:'Matrix - Per Operation'!U97, 1, 'Matrix - Per Operation'!L2:'Matrix - Per Operation'!L97)</f>
        <v>64</v>
      </c>
      <c r="E3" s="6">
        <f>SUMIF('Matrix - Per Operation'!U2:'Matrix - Per Operation'!U97, 1, 'Matrix - Per Operation'!M2:'Matrix - Per Operation'!M97)</f>
        <v>1</v>
      </c>
      <c r="F3" s="6">
        <f>SUMIF('Matrix - Per Operation'!U2:'Matrix - Per Operation'!U97, 1, 'Matrix - Per Operation'!N2:'Matrix - Per Operation'!N97)</f>
        <v>2</v>
      </c>
      <c r="G3" s="6">
        <f>SUMIF('Matrix - Per Operation'!U2:'Matrix - Per Operation'!U97, 1, 'Matrix - Per Operation'!O2:'Matrix - Per Operation'!O97)</f>
        <v>0</v>
      </c>
      <c r="H3" s="6">
        <f>SUMIF('Matrix - Per Operation'!U2:'Matrix - Per Operation'!U97, 1, 'Matrix - Per Operation'!P2:'Matrix - Per Operation'!P97)</f>
        <v>1</v>
      </c>
      <c r="I3" s="6">
        <f>SUMIF('Matrix - Per Operation'!U2:'Matrix - Per Operation'!U97, 1, 'Matrix - Per Operation'!Q2:'Matrix - Per Operation'!Q97)</f>
        <v>14</v>
      </c>
      <c r="J3" s="6">
        <f>SUMIF('Matrix - Per Operation'!U2:'Matrix - Per Operation'!U97, 1, 'Matrix - Per Operation'!R2:'Matrix - Per Operation'!R97)</f>
        <v>6</v>
      </c>
      <c r="K3" s="6">
        <f>SUMIF('Matrix - Per Operation'!U2:'Matrix - Per Operation'!U97, 1, 'Matrix - Per Operation'!S2:'Matrix - Per Operation'!S97)</f>
        <v>1</v>
      </c>
      <c r="L3" s="16">
        <f t="shared" ref="L3:L17" si="0">K3/SUM(D3,K3)</f>
        <v>1.5384615384615385E-2</v>
      </c>
      <c r="M3" s="6">
        <f>COUNTIFS('Matrix - Per Operation'!U:U, 1,'Matrix - Per Operation'!E:E,"Encampment")</f>
        <v>2</v>
      </c>
      <c r="N3" s="25">
        <f>COUNTIFS('Matrix - Per Operation'!E2:E97, "*Encampment*", 'Matrix - Per Operation'!U2:U97, 1)</f>
        <v>2</v>
      </c>
      <c r="O3" s="18">
        <f>COUNTIFS('Matrix - Per Operation'!E2:E97, "*Repop*", 'Matrix - Per Operation'!U2:U97, 1)</f>
        <v>1</v>
      </c>
      <c r="P3" s="19" cm="1">
        <f t="array" ref="P3">SUMPRODUCT(--(ISNUMBER(SEARCH(",1,",","&amp;'Matrix - Per Operation'!V2:'Matrix - Per Operation'!V97&amp;","))))</f>
        <v>1</v>
      </c>
    </row>
    <row r="4" spans="1:16" ht="14.4" x14ac:dyDescent="0.3">
      <c r="A4" s="15" t="s">
        <v>235</v>
      </c>
      <c r="B4" s="6">
        <f>SUMIF('Matrix - Per Operation'!U2:'Matrix - Per Operation'!U97, 2, 'Matrix - Per Operation'!J2:'Matrix - Per Operation'!J97)+7</f>
        <v>56</v>
      </c>
      <c r="C4" s="6">
        <f>SUMIF('Matrix - Per Operation'!U2:'Matrix - Per Operation'!U97, 2, 'Matrix - Per Operation'!K2:'Matrix - Per Operation'!K97)</f>
        <v>55</v>
      </c>
      <c r="D4" s="6">
        <f>SUMIF('Matrix - Per Operation'!U2:'Matrix - Per Operation'!U97, 2, 'Matrix - Per Operation'!L2:'Matrix - Per Operation'!L97)</f>
        <v>34</v>
      </c>
      <c r="E4" s="6">
        <f>SUMIF('Matrix - Per Operation'!U2:'Matrix - Per Operation'!U97, 2, 'Matrix - Per Operation'!M2:'Matrix - Per Operation'!M97)</f>
        <v>0</v>
      </c>
      <c r="F4" s="6">
        <f>SUMIF('Matrix - Per Operation'!U2:'Matrix - Per Operation'!U97, 2, 'Matrix - Per Operation'!N2:'Matrix - Per Operation'!N97)</f>
        <v>0</v>
      </c>
      <c r="G4" s="6">
        <f>SUMIF('Matrix - Per Operation'!U2:'Matrix - Per Operation'!U97, 2, 'Matrix - Per Operation'!O2:'Matrix - Per Operation'!O97)</f>
        <v>0</v>
      </c>
      <c r="H4" s="6">
        <f>SUMIF('Matrix - Per Operation'!U2:'Matrix - Per Operation'!U97, 2, 'Matrix - Per Operation'!P2:'Matrix - Per Operation'!P97)</f>
        <v>0</v>
      </c>
      <c r="I4" s="6">
        <f>SUMIF('Matrix - Per Operation'!U2:'Matrix - Per Operation'!U97, 2, 'Matrix - Per Operation'!Q2:'Matrix - Per Operation'!Q97)</f>
        <v>9</v>
      </c>
      <c r="J4" s="6">
        <f>SUMIF('Matrix - Per Operation'!U2:'Matrix - Per Operation'!U97, 2, 'Matrix - Per Operation'!R2:'Matrix - Per Operation'!R97)</f>
        <v>4</v>
      </c>
      <c r="K4" s="6">
        <f>SUMIF('Matrix - Per Operation'!U2:'Matrix - Per Operation'!U97, 2, 'Matrix - Per Operation'!S2:'Matrix - Per Operation'!S97)</f>
        <v>8</v>
      </c>
      <c r="L4" s="16">
        <f t="shared" si="0"/>
        <v>0.19047619047619047</v>
      </c>
      <c r="M4" s="6">
        <f>COUNTIF('Matrix - Per Operation'!U2:'Matrix - Per Operation'!U97, 2)</f>
        <v>5</v>
      </c>
      <c r="N4" s="25">
        <f>COUNTIFS('Matrix - Per Operation'!E2:E97, "*Encampment*", 'Matrix - Per Operation'!U2:U97, 2)</f>
        <v>2</v>
      </c>
      <c r="O4" s="18">
        <f>COUNTIFS('Matrix - Per Operation'!E2:E97, "*Repop*", 'Matrix - Per Operation'!U2:U97, 2)</f>
        <v>3</v>
      </c>
      <c r="P4" s="19" cm="1">
        <f t="array" ref="P4">SUMPRODUCT(--(ISNUMBER(SEARCH(",2,",","&amp;'Matrix - Per Operation'!V2:'Matrix - Per Operation'!V97&amp;","))))</f>
        <v>0</v>
      </c>
    </row>
    <row r="5" spans="1:16" ht="14.4" x14ac:dyDescent="0.3">
      <c r="A5" s="15" t="s">
        <v>236</v>
      </c>
      <c r="B5" s="6">
        <f>SUMIF('Matrix - Per Operation'!U2:'Matrix - Per Operation'!U97, 3, 'Matrix - Per Operation'!J2:'Matrix - Per Operation'!J97)+50</f>
        <v>109</v>
      </c>
      <c r="C5" s="6">
        <f>SUMIF('Matrix - Per Operation'!U2:'Matrix - Per Operation'!U97, 3, 'Matrix - Per Operation'!K2:'Matrix - Per Operation'!K97)</f>
        <v>130</v>
      </c>
      <c r="D5" s="6">
        <f>SUMIF('Matrix - Per Operation'!U2:'Matrix - Per Operation'!U97, 3, 'Matrix - Per Operation'!L2:'Matrix - Per Operation'!L97)</f>
        <v>100</v>
      </c>
      <c r="E5" s="6">
        <f>SUMIF('Matrix - Per Operation'!U2:'Matrix - Per Operation'!U97, 3, 'Matrix - Per Operation'!M2:'Matrix - Per Operation'!M97)</f>
        <v>2</v>
      </c>
      <c r="F5" s="6">
        <f>SUMIF('Matrix - Per Operation'!U2:'Matrix - Per Operation'!U97, 3, 'Matrix - Per Operation'!N2:'Matrix - Per Operation'!N97)</f>
        <v>0</v>
      </c>
      <c r="G5" s="6">
        <f>SUMIF('Matrix - Per Operation'!U2:'Matrix - Per Operation'!U97, 3, 'Matrix - Per Operation'!O2:'Matrix - Per Operation'!O97)</f>
        <v>0</v>
      </c>
      <c r="H5" s="6">
        <f>SUMIF('Matrix - Per Operation'!U2:'Matrix - Per Operation'!U97, 3, 'Matrix - Per Operation'!P2:'Matrix - Per Operation'!P97)</f>
        <v>0</v>
      </c>
      <c r="I5" s="6">
        <f>SUMIF('Matrix - Per Operation'!U2:'Matrix - Per Operation'!U97, 3, 'Matrix - Per Operation'!Q2:'Matrix - Per Operation'!Q97)</f>
        <v>15</v>
      </c>
      <c r="J5" s="6">
        <f>SUMIF('Matrix - Per Operation'!U2:'Matrix - Per Operation'!U97, 3, 'Matrix - Per Operation'!R2:'Matrix - Per Operation'!R97)</f>
        <v>8</v>
      </c>
      <c r="K5" s="6">
        <f>SUMIF('Matrix - Per Operation'!U2:'Matrix - Per Operation'!U97, 3, 'Matrix - Per Operation'!S2:'Matrix - Per Operation'!S97)</f>
        <v>5</v>
      </c>
      <c r="L5" s="16">
        <f t="shared" si="0"/>
        <v>4.7619047619047616E-2</v>
      </c>
      <c r="M5" s="6">
        <f>COUNTIF('Matrix - Per Operation'!U2:'Matrix - Per Operation'!U97, 3)</f>
        <v>7</v>
      </c>
      <c r="N5" s="25">
        <f>COUNTIFS('Matrix - Per Operation'!E2:E97, "*Encampment*", 'Matrix - Per Operation'!U2:U97, 3)</f>
        <v>3</v>
      </c>
      <c r="O5" s="18">
        <f>COUNTIFS('Matrix - Per Operation'!E2:E97, "*Repop*", 'Matrix - Per Operation'!U2:U97, 3)</f>
        <v>4</v>
      </c>
      <c r="P5" s="19" cm="1">
        <f t="array" ref="P5">SUMPRODUCT(--(ISNUMBER(SEARCH(",3,",","&amp;'Matrix - Per Operation'!V2:'Matrix - Per Operation'!V97&amp;","))))</f>
        <v>9</v>
      </c>
    </row>
    <row r="6" spans="1:16" ht="14.4" x14ac:dyDescent="0.3">
      <c r="A6" s="15" t="s">
        <v>237</v>
      </c>
      <c r="B6" s="6">
        <f>SUMIF('Matrix - Per Operation'!U2:'Matrix - Per Operation'!U97, 4, 'Matrix - Per Operation'!J2:'Matrix - Per Operation'!J97)+100</f>
        <v>163</v>
      </c>
      <c r="C6" s="6">
        <f>SUMIF('Matrix - Per Operation'!U2:'Matrix - Per Operation'!U97, 4, 'Matrix - Per Operation'!K2:'Matrix - Per Operation'!K97)</f>
        <v>126</v>
      </c>
      <c r="D6" s="6">
        <f>SUMIF('Matrix - Per Operation'!U2:'Matrix - Per Operation'!U97, 4, 'Matrix - Per Operation'!L2:'Matrix - Per Operation'!L97)</f>
        <v>81</v>
      </c>
      <c r="E6" s="6">
        <f>SUMIF('Matrix - Per Operation'!U2:'Matrix - Per Operation'!U97, 4, 'Matrix - Per Operation'!M2:'Matrix - Per Operation'!M97)</f>
        <v>0</v>
      </c>
      <c r="F6" s="6">
        <f>SUMIF('Matrix - Per Operation'!U2:'Matrix - Per Operation'!U97, 4, 'Matrix - Per Operation'!N2:'Matrix - Per Operation'!N97)</f>
        <v>2</v>
      </c>
      <c r="G6" s="6">
        <f>SUMIF('Matrix - Per Operation'!U2:'Matrix - Per Operation'!U97, 4, 'Matrix - Per Operation'!O2:'Matrix - Per Operation'!O97)</f>
        <v>0</v>
      </c>
      <c r="H6" s="6">
        <f>SUMIF('Matrix - Per Operation'!U2:'Matrix - Per Operation'!U97, 4, 'Matrix - Per Operation'!P2:'Matrix - Per Operation'!P97)</f>
        <v>0</v>
      </c>
      <c r="I6" s="6">
        <f>SUMIF('Matrix - Per Operation'!U2:'Matrix - Per Operation'!U97, 4, 'Matrix - Per Operation'!Q2:'Matrix - Per Operation'!Q97)</f>
        <v>23</v>
      </c>
      <c r="J6" s="6">
        <f>SUMIF('Matrix - Per Operation'!U2:'Matrix - Per Operation'!U97, 4, 'Matrix - Per Operation'!R2:'Matrix - Per Operation'!R97)</f>
        <v>10</v>
      </c>
      <c r="K6" s="6">
        <f>SUMIF('Matrix - Per Operation'!U2:'Matrix - Per Operation'!U97, 4, 'Matrix - Per Operation'!S2:'Matrix - Per Operation'!S97)</f>
        <v>10</v>
      </c>
      <c r="L6" s="16">
        <f t="shared" si="0"/>
        <v>0.10989010989010989</v>
      </c>
      <c r="M6" s="6">
        <f>COUNTIF('Matrix - Per Operation'!U2:'Matrix - Per Operation'!U97, 4)</f>
        <v>9</v>
      </c>
      <c r="N6" s="25">
        <f>COUNTIFS('Matrix - Per Operation'!E2:E97, "*Encampment*", 'Matrix - Per Operation'!U2:U97, 4)</f>
        <v>2</v>
      </c>
      <c r="O6" s="18">
        <f>COUNTIFS('Matrix - Per Operation'!E2:E97, "*Repop*", 'Matrix - Per Operation'!U2:U97, 4)</f>
        <v>6</v>
      </c>
      <c r="P6" s="19" cm="1">
        <f t="array" ref="P6">SUMPRODUCT(--(ISNUMBER(SEARCH(",4,",","&amp;'Matrix - Per Operation'!V2:'Matrix - Per Operation'!V97&amp;","))))</f>
        <v>4</v>
      </c>
    </row>
    <row r="7" spans="1:16" ht="14.4" x14ac:dyDescent="0.3">
      <c r="A7" s="15" t="s">
        <v>238</v>
      </c>
      <c r="B7" s="6">
        <f>SUMIF('Matrix - Per Operation'!U2:'Matrix - Per Operation'!U97, 5, 'Matrix - Per Operation'!J2:'Matrix - Per Operation'!J97)</f>
        <v>92</v>
      </c>
      <c r="C7" s="6">
        <f>SUMIF('Matrix - Per Operation'!U2:'Matrix - Per Operation'!U97, 5, 'Matrix - Per Operation'!K2:'Matrix - Per Operation'!K97)</f>
        <v>107</v>
      </c>
      <c r="D7" s="6">
        <f>SUMIF('Matrix - Per Operation'!U2:'Matrix - Per Operation'!U97, 5, 'Matrix - Per Operation'!L2:'Matrix - Per Operation'!L97)</f>
        <v>52</v>
      </c>
      <c r="E7" s="6">
        <f>SUMIF('Matrix - Per Operation'!U2:'Matrix - Per Operation'!U97, 5, 'Matrix - Per Operation'!M2:'Matrix - Per Operation'!M97)</f>
        <v>1</v>
      </c>
      <c r="F7" s="6">
        <f>SUMIF('Matrix - Per Operation'!U2:'Matrix - Per Operation'!U97, 5, 'Matrix - Per Operation'!N2:'Matrix - Per Operation'!N97)</f>
        <v>2</v>
      </c>
      <c r="G7" s="6">
        <f>SUMIF('Matrix - Per Operation'!U2:'Matrix - Per Operation'!U97, 5, 'Matrix - Per Operation'!O2:'Matrix - Per Operation'!O97)</f>
        <v>0</v>
      </c>
      <c r="H7" s="6">
        <f>SUMIF('Matrix - Per Operation'!U2:'Matrix - Per Operation'!U97, 5, 'Matrix - Per Operation'!P2:'Matrix - Per Operation'!P97)</f>
        <v>0</v>
      </c>
      <c r="I7" s="6">
        <f>SUMIF('Matrix - Per Operation'!U2:'Matrix - Per Operation'!U97, 5, 'Matrix - Per Operation'!Q2:'Matrix - Per Operation'!Q97)</f>
        <v>13</v>
      </c>
      <c r="J7" s="6">
        <f>SUMIF('Matrix - Per Operation'!U2:'Matrix - Per Operation'!U97, 5, 'Matrix - Per Operation'!R2:'Matrix - Per Operation'!R97)</f>
        <v>10</v>
      </c>
      <c r="K7" s="6">
        <f>SUMIF('Matrix - Per Operation'!U2:'Matrix - Per Operation'!U97, 5, 'Matrix - Per Operation'!S2:'Matrix - Per Operation'!S97)</f>
        <v>29</v>
      </c>
      <c r="L7" s="16">
        <f t="shared" si="0"/>
        <v>0.35802469135802467</v>
      </c>
      <c r="M7" s="6">
        <f>COUNTIF('Matrix - Per Operation'!U2:'Matrix - Per Operation'!U97, 5)</f>
        <v>3</v>
      </c>
      <c r="N7" s="25">
        <f>COUNTIFS('Matrix - Per Operation'!E2:E97, "*Encampment*", 'Matrix - Per Operation'!U2:U97, 5)</f>
        <v>3</v>
      </c>
      <c r="O7" s="18">
        <f>COUNTIFS('Matrix - Per Operation'!E2:E97, "*Repop*", 'Matrix - Per Operation'!U2:U97, 5)</f>
        <v>0</v>
      </c>
      <c r="P7" s="19" cm="1">
        <f t="array" ref="P7">SUMPRODUCT(--(ISNUMBER(SEARCH(",5,",","&amp;'Matrix - Per Operation'!V2:'Matrix - Per Operation'!V97&amp;","))))</f>
        <v>0</v>
      </c>
    </row>
    <row r="8" spans="1:16" ht="14.4" x14ac:dyDescent="0.3">
      <c r="A8" s="15" t="s">
        <v>239</v>
      </c>
      <c r="B8" s="6">
        <f>SUMIF('Matrix - Per Operation'!U2:'Matrix - Per Operation'!U97, 6, 'Matrix - Per Operation'!J2:'Matrix - Per Operation'!J97)</f>
        <v>68</v>
      </c>
      <c r="C8" s="6">
        <f>SUMIF('Matrix - Per Operation'!U2:'Matrix - Per Operation'!U97, 6, 'Matrix - Per Operation'!K2:'Matrix - Per Operation'!K97)</f>
        <v>62</v>
      </c>
      <c r="D8" s="6">
        <f>SUMIF('Matrix - Per Operation'!U2:'Matrix - Per Operation'!U97, 6, 'Matrix - Per Operation'!L2:'Matrix - Per Operation'!L97)</f>
        <v>35</v>
      </c>
      <c r="E8" s="6">
        <f>SUMIF('Matrix - Per Operation'!U2:'Matrix - Per Operation'!U97, 6, 'Matrix - Per Operation'!M2:'Matrix - Per Operation'!M97)</f>
        <v>0</v>
      </c>
      <c r="F8" s="6">
        <f>SUMIF('Matrix - Per Operation'!U2:'Matrix - Per Operation'!U97, 6, 'Matrix - Per Operation'!N2:'Matrix - Per Operation'!N97)</f>
        <v>0</v>
      </c>
      <c r="G8" s="6">
        <f>SUMIF('Matrix - Per Operation'!U2:'Matrix - Per Operation'!U97, 6, 'Matrix - Per Operation'!O2:'Matrix - Per Operation'!O97)</f>
        <v>1</v>
      </c>
      <c r="H8" s="6">
        <f>SUMIF('Matrix - Per Operation'!U2:'Matrix - Per Operation'!U97, 6, 'Matrix - Per Operation'!P2:'Matrix - Per Operation'!P97)</f>
        <v>0</v>
      </c>
      <c r="I8" s="6">
        <f>SUMIF('Matrix - Per Operation'!U2:'Matrix - Per Operation'!U97, 6, 'Matrix - Per Operation'!Q2:'Matrix - Per Operation'!Q97)</f>
        <v>8</v>
      </c>
      <c r="J8" s="6">
        <f>SUMIF('Matrix - Per Operation'!U2:'Matrix - Per Operation'!U97, 6, 'Matrix - Per Operation'!R2:'Matrix - Per Operation'!R97)</f>
        <v>12</v>
      </c>
      <c r="K8" s="6">
        <f>SUMIF('Matrix - Per Operation'!U2:'Matrix - Per Operation'!U97, 6, 'Matrix - Per Operation'!S2:'Matrix - Per Operation'!S97)</f>
        <v>6</v>
      </c>
      <c r="L8" s="16">
        <f t="shared" si="0"/>
        <v>0.14634146341463414</v>
      </c>
      <c r="M8" s="6">
        <f>COUNTIF('Matrix - Per Operation'!U2:'Matrix - Per Operation'!U97, 6)</f>
        <v>2</v>
      </c>
      <c r="N8" s="25">
        <f>COUNTIFS('Matrix - Per Operation'!E2:E97, "*Encampment*", 'Matrix - Per Operation'!U2:U97, 6)</f>
        <v>2</v>
      </c>
      <c r="O8" s="18">
        <f>COUNTIFS('Matrix - Per Operation'!E2:E97, "*Repop*", 'Matrix - Per Operation'!U2:U97, 6)</f>
        <v>0</v>
      </c>
      <c r="P8" s="19" cm="1">
        <f t="array" ref="P8">SUMPRODUCT(--(ISNUMBER(SEARCH(",6,",","&amp;'Matrix - Per Operation'!V2:'Matrix - Per Operation'!V97&amp;","))))</f>
        <v>9</v>
      </c>
    </row>
    <row r="9" spans="1:16" ht="14.4" x14ac:dyDescent="0.3">
      <c r="A9" s="15" t="s">
        <v>240</v>
      </c>
      <c r="B9" s="6">
        <f>SUMIF('Matrix - Per Operation'!U2:'Matrix - Per Operation'!U97, 7, 'Matrix - Per Operation'!J2:'Matrix - Per Operation'!J97)</f>
        <v>68</v>
      </c>
      <c r="C9" s="6">
        <f>SUMIF('Matrix - Per Operation'!U2:'Matrix - Per Operation'!U97, 7, 'Matrix - Per Operation'!K2:'Matrix - Per Operation'!K97)</f>
        <v>74</v>
      </c>
      <c r="D9" s="6">
        <f>SUMIF('Matrix - Per Operation'!U2:'Matrix - Per Operation'!U97, 7, 'Matrix - Per Operation'!L2:'Matrix - Per Operation'!L97)</f>
        <v>47</v>
      </c>
      <c r="E9" s="6">
        <f>SUMIF('Matrix - Per Operation'!U2:'Matrix - Per Operation'!U97, 7, 'Matrix - Per Operation'!M2:'Matrix - Per Operation'!M97)</f>
        <v>3</v>
      </c>
      <c r="F9" s="6">
        <f>SUMIF('Matrix - Per Operation'!U2:'Matrix - Per Operation'!U97, 7, 'Matrix - Per Operation'!N2:'Matrix - Per Operation'!N97)</f>
        <v>0</v>
      </c>
      <c r="G9" s="6">
        <f>SUMIF('Matrix - Per Operation'!U2:'Matrix - Per Operation'!U97, 7, 'Matrix - Per Operation'!O2:'Matrix - Per Operation'!O97)</f>
        <v>1</v>
      </c>
      <c r="H9" s="6">
        <f>SUMIF('Matrix - Per Operation'!U2:'Matrix - Per Operation'!U97, 7, 'Matrix - Per Operation'!P2:'Matrix - Per Operation'!P97)</f>
        <v>0</v>
      </c>
      <c r="I9" s="6">
        <f>SUMIF('Matrix - Per Operation'!U2:'Matrix - Per Operation'!U97, 7, 'Matrix - Per Operation'!Q2:'Matrix - Per Operation'!Q97)</f>
        <v>9</v>
      </c>
      <c r="J9" s="6">
        <f>SUMIF('Matrix - Per Operation'!U2:'Matrix - Per Operation'!U97, 7, 'Matrix - Per Operation'!R2:'Matrix - Per Operation'!R97)</f>
        <v>5</v>
      </c>
      <c r="K9" s="6">
        <f>SUMIF('Matrix - Per Operation'!U2:'Matrix - Per Operation'!U97, 7, 'Matrix - Per Operation'!S2:'Matrix - Per Operation'!S97)</f>
        <v>9</v>
      </c>
      <c r="L9" s="16">
        <f t="shared" si="0"/>
        <v>0.16071428571428573</v>
      </c>
      <c r="M9" s="6">
        <f>COUNTIF('Matrix - Per Operation'!U2:'Matrix - Per Operation'!U97, 7)</f>
        <v>3</v>
      </c>
      <c r="N9" s="25">
        <f>COUNTIFS('Matrix - Per Operation'!E2:E97, "*Encampment*", 'Matrix - Per Operation'!U2:U97, 7)</f>
        <v>2</v>
      </c>
      <c r="O9" s="18">
        <f>COUNTIFS('Matrix - Per Operation'!E2:E97, "*Repop*", 'Matrix - Per Operation'!U2:U97, 7)</f>
        <v>1</v>
      </c>
      <c r="P9" s="19" cm="1">
        <f t="array" ref="P9">SUMPRODUCT(--(ISNUMBER(SEARCH(",7,",","&amp;'Matrix - Per Operation'!V2:'Matrix - Per Operation'!V97&amp;","))))</f>
        <v>1</v>
      </c>
    </row>
    <row r="10" spans="1:16" ht="14.4" x14ac:dyDescent="0.3">
      <c r="A10" s="15" t="s">
        <v>241</v>
      </c>
      <c r="B10" s="6">
        <f>SUMIF('Matrix - Per Operation'!U2:'Matrix - Per Operation'!U97, 8, 'Matrix - Per Operation'!J2:'Matrix - Per Operation'!J97)</f>
        <v>195</v>
      </c>
      <c r="C10" s="6">
        <f>SUMIF('Matrix - Per Operation'!U2:'Matrix - Per Operation'!U97, 8, 'Matrix - Per Operation'!K2:'Matrix - Per Operation'!K97)</f>
        <v>262</v>
      </c>
      <c r="D10" s="6">
        <f>SUMIF('Matrix - Per Operation'!U2:'Matrix - Per Operation'!U97, 8, 'Matrix - Per Operation'!L2:'Matrix - Per Operation'!L97)</f>
        <v>161</v>
      </c>
      <c r="E10" s="6">
        <f>SUMIF('Matrix - Per Operation'!U2:'Matrix - Per Operation'!U97, 8, 'Matrix - Per Operation'!M2:'Matrix - Per Operation'!M97)</f>
        <v>7</v>
      </c>
      <c r="F10" s="6">
        <f>SUMIF('Matrix - Per Operation'!U2:'Matrix - Per Operation'!U97, 8, 'Matrix - Per Operation'!N2:'Matrix - Per Operation'!N97)</f>
        <v>6</v>
      </c>
      <c r="G10" s="6">
        <f>SUMIF('Matrix - Per Operation'!U2:'Matrix - Per Operation'!U97, 8, 'Matrix - Per Operation'!O2:'Matrix - Per Operation'!O97)</f>
        <v>2</v>
      </c>
      <c r="H10" s="6">
        <f>SUMIF('Matrix - Per Operation'!U2:'Matrix - Per Operation'!U97, 8, 'Matrix - Per Operation'!P2:'Matrix - Per Operation'!P97)</f>
        <v>0</v>
      </c>
      <c r="I10" s="6">
        <f>SUMIF('Matrix - Per Operation'!U2:'Matrix - Per Operation'!U97, 8, 'Matrix - Per Operation'!Q2:'Matrix - Per Operation'!Q97)</f>
        <v>20</v>
      </c>
      <c r="J10" s="6">
        <f>SUMIF('Matrix - Per Operation'!U2:'Matrix - Per Operation'!U97, 8, 'Matrix - Per Operation'!R2:'Matrix - Per Operation'!R97)</f>
        <v>13</v>
      </c>
      <c r="K10" s="6">
        <f>SUMIF('Matrix - Per Operation'!U2:'Matrix - Per Operation'!U97, 8, 'Matrix - Per Operation'!S2:'Matrix - Per Operation'!S97)</f>
        <v>53</v>
      </c>
      <c r="L10" s="16">
        <f t="shared" si="0"/>
        <v>0.24766355140186916</v>
      </c>
      <c r="M10" s="6">
        <f>COUNTIF('Matrix - Per Operation'!U2:'Matrix - Per Operation'!U97, 8)</f>
        <v>15</v>
      </c>
      <c r="N10" s="25">
        <f>COUNTIFS('Matrix - Per Operation'!E2:E97, "*Encampment*", 'Matrix - Per Operation'!U2:U97, 8)</f>
        <v>7</v>
      </c>
      <c r="O10" s="18">
        <f>COUNTIFS('Matrix - Per Operation'!E2:E97, "*Repop*", 'Matrix - Per Operation'!U2:U97, 8)</f>
        <v>8</v>
      </c>
      <c r="P10" s="19" cm="1">
        <f t="array" ref="P10">SUMPRODUCT(--(ISNUMBER(SEARCH(",8,",","&amp;'Matrix - Per Operation'!V2:'Matrix - Per Operation'!V97&amp;","))))</f>
        <v>15</v>
      </c>
    </row>
    <row r="11" spans="1:16" ht="14.4" x14ac:dyDescent="0.3">
      <c r="A11" s="15" t="s">
        <v>242</v>
      </c>
      <c r="B11" s="6">
        <f>SUMIF('Matrix - Per Operation'!U2:'Matrix - Per Operation'!U97, 9, 'Matrix - Per Operation'!J2:'Matrix - Per Operation'!J97)</f>
        <v>145</v>
      </c>
      <c r="C11" s="6">
        <f>SUMIF('Matrix - Per Operation'!U2:'Matrix - Per Operation'!U97, 9, 'Matrix - Per Operation'!K2:'Matrix - Per Operation'!K97)</f>
        <v>184</v>
      </c>
      <c r="D11" s="6">
        <f>SUMIF('Matrix - Per Operation'!U2:'Matrix - Per Operation'!U97, 9, 'Matrix - Per Operation'!L2:'Matrix - Per Operation'!L97)</f>
        <v>77</v>
      </c>
      <c r="E11" s="6">
        <f>SUMIF('Matrix - Per Operation'!U2:'Matrix - Per Operation'!U97, 9, 'Matrix - Per Operation'!M2:'Matrix - Per Operation'!M97)</f>
        <v>1</v>
      </c>
      <c r="F11" s="6">
        <f>SUMIF('Matrix - Per Operation'!U2:'Matrix - Per Operation'!U97, 9, 'Matrix - Per Operation'!N2:'Matrix - Per Operation'!N97)</f>
        <v>2</v>
      </c>
      <c r="G11" s="6">
        <f>SUMIF('Matrix - Per Operation'!U2:'Matrix - Per Operation'!U97, 9, 'Matrix - Per Operation'!O2:'Matrix - Per Operation'!O97)</f>
        <v>1</v>
      </c>
      <c r="H11" s="6">
        <f>SUMIF('Matrix - Per Operation'!U2:'Matrix - Per Operation'!U97, 9, 'Matrix - Per Operation'!P2:'Matrix - Per Operation'!P97)</f>
        <v>0</v>
      </c>
      <c r="I11" s="6">
        <f>SUMIF('Matrix - Per Operation'!U2:'Matrix - Per Operation'!U97, 9, 'Matrix - Per Operation'!Q2:'Matrix - Per Operation'!Q97)</f>
        <v>18</v>
      </c>
      <c r="J11" s="6">
        <f>SUMIF('Matrix - Per Operation'!U2:'Matrix - Per Operation'!U97, 9, 'Matrix - Per Operation'!R2:'Matrix - Per Operation'!R97)</f>
        <v>13</v>
      </c>
      <c r="K11" s="6">
        <f>SUMIF('Matrix - Per Operation'!U2:'Matrix - Per Operation'!U97, 9, 'Matrix - Per Operation'!S2:'Matrix - Per Operation'!S97)</f>
        <v>72</v>
      </c>
      <c r="L11" s="16">
        <f t="shared" si="0"/>
        <v>0.48322147651006714</v>
      </c>
      <c r="M11" s="6">
        <f>COUNTIF('Matrix - Per Operation'!U2:'Matrix - Per Operation'!U97, 9)</f>
        <v>10</v>
      </c>
      <c r="N11" s="25">
        <f>COUNTIFS('Matrix - Per Operation'!E2:E97, "*Encampment*", 'Matrix - Per Operation'!U2:U97, 9)</f>
        <v>5</v>
      </c>
      <c r="O11" s="18">
        <f>COUNTIFS('Matrix - Per Operation'!E2:E97, "*Repop*", 'Matrix - Per Operation'!U2:U97, 9)</f>
        <v>5</v>
      </c>
      <c r="P11" s="19" cm="1">
        <f t="array" ref="P11">SUMPRODUCT(--(ISNUMBER(SEARCH(",9,",","&amp;'Matrix - Per Operation'!V2:'Matrix - Per Operation'!V97&amp;","))))</f>
        <v>10</v>
      </c>
    </row>
    <row r="12" spans="1:16" ht="14.4" x14ac:dyDescent="0.3">
      <c r="A12" s="15" t="s">
        <v>243</v>
      </c>
      <c r="B12" s="6">
        <f>SUMIF('Matrix - Per Operation'!U2:'Matrix - Per Operation'!U97, 10, 'Matrix - Per Operation'!J2:'Matrix - Per Operation'!J97)</f>
        <v>63</v>
      </c>
      <c r="C12" s="6">
        <f>SUMIF('Matrix - Per Operation'!U2:'Matrix - Per Operation'!U97, 10, 'Matrix - Per Operation'!K2:'Matrix - Per Operation'!K97)</f>
        <v>81</v>
      </c>
      <c r="D12" s="6">
        <f>SUMIF('Matrix - Per Operation'!U2:'Matrix - Per Operation'!U97, 10, 'Matrix - Per Operation'!L2:'Matrix - Per Operation'!L97)</f>
        <v>57</v>
      </c>
      <c r="E12" s="6">
        <f>SUMIF('Matrix - Per Operation'!U2:'Matrix - Per Operation'!U97, 10, 'Matrix - Per Operation'!M2:'Matrix - Per Operation'!M97)</f>
        <v>1</v>
      </c>
      <c r="F12" s="6">
        <f>SUMIF('Matrix - Per Operation'!U2:'Matrix - Per Operation'!U97, 10, 'Matrix - Per Operation'!N2:'Matrix - Per Operation'!N97)</f>
        <v>1</v>
      </c>
      <c r="G12" s="6">
        <f>SUMIF('Matrix - Per Operation'!U2:'Matrix - Per Operation'!U97, 10, 'Matrix - Per Operation'!O2:'Matrix - Per Operation'!O97)</f>
        <v>0</v>
      </c>
      <c r="H12" s="6">
        <f>SUMIF('Matrix - Per Operation'!U2:'Matrix - Per Operation'!U97, 10, 'Matrix - Per Operation'!P2:'Matrix - Per Operation'!P97)</f>
        <v>0</v>
      </c>
      <c r="I12" s="6">
        <f>SUMIF('Matrix - Per Operation'!U2:'Matrix - Per Operation'!U97, 10, 'Matrix - Per Operation'!Q2:'Matrix - Per Operation'!Q97)</f>
        <v>7</v>
      </c>
      <c r="J12" s="6">
        <f>SUMIF('Matrix - Per Operation'!U2:'Matrix - Per Operation'!U97, 10, 'Matrix - Per Operation'!R2:'Matrix - Per Operation'!R97)</f>
        <v>4</v>
      </c>
      <c r="K12" s="6">
        <f>SUMIF('Matrix - Per Operation'!U2:'Matrix - Per Operation'!U97, 10, 'Matrix - Per Operation'!S2:'Matrix - Per Operation'!S97)</f>
        <v>11</v>
      </c>
      <c r="L12" s="16">
        <f t="shared" si="0"/>
        <v>0.16176470588235295</v>
      </c>
      <c r="M12" s="6">
        <f>COUNTIF('Matrix - Per Operation'!U2:'Matrix - Per Operation'!U97, 10)</f>
        <v>7</v>
      </c>
      <c r="N12" s="25">
        <f>COUNTIFS('Matrix - Per Operation'!E2:E97, "*Encampment*", 'Matrix - Per Operation'!U2:U97, 10)</f>
        <v>2</v>
      </c>
      <c r="O12" s="18">
        <f>COUNTIFS('Matrix - Per Operation'!E2:E97, "*Repop*", 'Matrix - Per Operation'!U2:U97, 10)</f>
        <v>5</v>
      </c>
      <c r="P12" s="19" cm="1">
        <f t="array" ref="P12">SUMPRODUCT(--(ISNUMBER(SEARCH(",10,",","&amp;'Matrix - Per Operation'!V2:'Matrix - Per Operation'!V97&amp;","))))</f>
        <v>1</v>
      </c>
    </row>
    <row r="13" spans="1:16" ht="14.4" x14ac:dyDescent="0.3">
      <c r="A13" s="15" t="s">
        <v>244</v>
      </c>
      <c r="B13" s="6">
        <f>SUMIF('Matrix - Per Operation'!U2:'Matrix - Per Operation'!U97, 11, 'Matrix - Per Operation'!J2:'Matrix - Per Operation'!J97)</f>
        <v>162</v>
      </c>
      <c r="C13" s="6">
        <f>SUMIF('Matrix - Per Operation'!U2:'Matrix - Per Operation'!U97, 11, 'Matrix - Per Operation'!K2:'Matrix - Per Operation'!K97)</f>
        <v>160</v>
      </c>
      <c r="D13" s="6">
        <f>SUMIF('Matrix - Per Operation'!U2:'Matrix - Per Operation'!U97, 11, 'Matrix - Per Operation'!L2:'Matrix - Per Operation'!L97)</f>
        <v>51</v>
      </c>
      <c r="E13" s="6">
        <f>SUMIF('Matrix - Per Operation'!U2:'Matrix - Per Operation'!U97, 11, 'Matrix - Per Operation'!M2:'Matrix - Per Operation'!M97)</f>
        <v>3</v>
      </c>
      <c r="F13" s="6">
        <f>SUMIF('Matrix - Per Operation'!U2:'Matrix - Per Operation'!U97, 11, 'Matrix - Per Operation'!N2:'Matrix - Per Operation'!N97)</f>
        <v>5</v>
      </c>
      <c r="G13" s="6">
        <f>SUMIF('Matrix - Per Operation'!U2:'Matrix - Per Operation'!U97, 11, 'Matrix - Per Operation'!O2:'Matrix - Per Operation'!O97)</f>
        <v>0</v>
      </c>
      <c r="H13" s="6">
        <f>SUMIF('Matrix - Per Operation'!U2:'Matrix - Per Operation'!U97, 11, 'Matrix - Per Operation'!P2:'Matrix - Per Operation'!P97)</f>
        <v>1</v>
      </c>
      <c r="I13" s="6">
        <f>SUMIF('Matrix - Per Operation'!U2:'Matrix - Per Operation'!U97, 11, 'Matrix - Per Operation'!Q2:'Matrix - Per Operation'!Q97)</f>
        <v>42</v>
      </c>
      <c r="J13" s="6">
        <f>SUMIF('Matrix - Per Operation'!U2:'Matrix - Per Operation'!U97, 11, 'Matrix - Per Operation'!R2:'Matrix - Per Operation'!R97)</f>
        <v>20</v>
      </c>
      <c r="K13" s="6">
        <f>SUMIF('Matrix - Per Operation'!U2:'Matrix - Per Operation'!U97, 11, 'Matrix - Per Operation'!S2:'Matrix - Per Operation'!S97)</f>
        <v>38</v>
      </c>
      <c r="L13" s="16">
        <f t="shared" si="0"/>
        <v>0.42696629213483145</v>
      </c>
      <c r="M13" s="6">
        <f>COUNTIF('Matrix - Per Operation'!U2:'Matrix - Per Operation'!U97, 11)</f>
        <v>3</v>
      </c>
      <c r="N13" s="25">
        <f>COUNTIFS('Matrix - Per Operation'!E2:E97, "*Encampment*", 'Matrix - Per Operation'!U2:U97, 11)</f>
        <v>3</v>
      </c>
      <c r="O13" s="18">
        <f>COUNTIFS('Matrix - Per Operation'!E2:E97, "*Repop*", 'Matrix - Per Operation'!U2:U97, 11)</f>
        <v>0</v>
      </c>
      <c r="P13" s="19" cm="1">
        <f t="array" ref="P13">SUMPRODUCT(--(ISNUMBER(SEARCH(",11,",","&amp;'Matrix - Per Operation'!V2:'Matrix - Per Operation'!V97&amp;","))))</f>
        <v>5</v>
      </c>
    </row>
    <row r="14" spans="1:16" ht="14.4" x14ac:dyDescent="0.3">
      <c r="A14" s="15" t="s">
        <v>245</v>
      </c>
      <c r="B14" s="6">
        <f>SUMIF('Matrix - Per Operation'!U2:'Matrix - Per Operation'!U97, 12, 'Matrix - Per Operation'!J2:'Matrix - Per Operation'!J97)+15</f>
        <v>67</v>
      </c>
      <c r="C14" s="6">
        <f>SUMIF('Matrix - Per Operation'!U2:'Matrix - Per Operation'!U97, 12, 'Matrix - Per Operation'!K2:'Matrix - Per Operation'!K97)</f>
        <v>93</v>
      </c>
      <c r="D14" s="6">
        <f>SUMIF('Matrix - Per Operation'!U2:'Matrix - Per Operation'!U97, 12, 'Matrix - Per Operation'!L2:'Matrix - Per Operation'!L97)</f>
        <v>58</v>
      </c>
      <c r="E14" s="6">
        <f>SUMIF('Matrix - Per Operation'!U2:'Matrix - Per Operation'!U97, 12, 'Matrix - Per Operation'!M2:'Matrix - Per Operation'!M97)</f>
        <v>4</v>
      </c>
      <c r="F14" s="6">
        <f>SUMIF('Matrix - Per Operation'!U2:'Matrix - Per Operation'!U97, 12, 'Matrix - Per Operation'!N2:'Matrix - Per Operation'!N97)</f>
        <v>0</v>
      </c>
      <c r="G14" s="6">
        <f>SUMIF('Matrix - Per Operation'!U2:'Matrix - Per Operation'!U97, 12, 'Matrix - Per Operation'!O2:'Matrix - Per Operation'!O97)</f>
        <v>0</v>
      </c>
      <c r="H14" s="6">
        <f>SUMIF('Matrix - Per Operation'!U2:'Matrix - Per Operation'!U97, 12, 'Matrix - Per Operation'!P2:'Matrix - Per Operation'!P97)</f>
        <v>1</v>
      </c>
      <c r="I14" s="6">
        <f>SUMIF('Matrix - Per Operation'!U2:'Matrix - Per Operation'!U97, 12, 'Matrix - Per Operation'!Q2:'Matrix - Per Operation'!Q97)</f>
        <v>11</v>
      </c>
      <c r="J14" s="6">
        <f>SUMIF('Matrix - Per Operation'!U2:'Matrix - Per Operation'!U97, 12, 'Matrix - Per Operation'!R2:'Matrix - Per Operation'!R97)</f>
        <v>8</v>
      </c>
      <c r="K14" s="6">
        <f>SUMIF('Matrix - Per Operation'!U2:'Matrix - Per Operation'!U97, 12, 'Matrix - Per Operation'!S2:'Matrix - Per Operation'!S97)</f>
        <v>11</v>
      </c>
      <c r="L14" s="16">
        <f t="shared" si="0"/>
        <v>0.15942028985507245</v>
      </c>
      <c r="M14" s="6">
        <f>COUNTIF('Matrix - Per Operation'!U2:'Matrix - Per Operation'!U97, 12)</f>
        <v>3</v>
      </c>
      <c r="N14" s="25">
        <f>COUNTIFS('Matrix - Per Operation'!E2:E97, "*Encampment*", 'Matrix - Per Operation'!U2:U97, 12)</f>
        <v>2</v>
      </c>
      <c r="O14" s="18">
        <f>COUNTIFS('Matrix - Per Operation'!E2:E97, "*Repop*", 'Matrix - Per Operation'!U2:U97, 12)</f>
        <v>1</v>
      </c>
      <c r="P14" s="19" cm="1">
        <f t="array" ref="P14">SUMPRODUCT(--(ISNUMBER(SEARCH(",12,",","&amp;'Matrix - Per Operation'!V2:'Matrix - Per Operation'!V97&amp;","))))</f>
        <v>12</v>
      </c>
    </row>
    <row r="15" spans="1:16" ht="14.4" x14ac:dyDescent="0.3">
      <c r="A15" s="15" t="s">
        <v>246</v>
      </c>
      <c r="B15" s="6">
        <f>SUMIF('Matrix - Per Operation'!U2:'Matrix - Per Operation'!U97, 13, 'Matrix - Per Operation'!J2:'Matrix - Per Operation'!J97)</f>
        <v>144</v>
      </c>
      <c r="C15" s="6">
        <f>SUMIF('Matrix - Per Operation'!U2:'Matrix - Per Operation'!U97, 13, 'Matrix - Per Operation'!K2:'Matrix - Per Operation'!K97)</f>
        <v>163</v>
      </c>
      <c r="D15" s="6">
        <f>SUMIF('Matrix - Per Operation'!U2:'Matrix - Per Operation'!U97, 13, 'Matrix - Per Operation'!L2:'Matrix - Per Operation'!L97)</f>
        <v>101</v>
      </c>
      <c r="E15" s="6">
        <f>SUMIF('Matrix - Per Operation'!U2:'Matrix - Per Operation'!U97, 13, 'Matrix - Per Operation'!M2:'Matrix - Per Operation'!M97)</f>
        <v>1</v>
      </c>
      <c r="F15" s="6">
        <f>SUMIF('Matrix - Per Operation'!U2:'Matrix - Per Operation'!U97, 13, 'Matrix - Per Operation'!N2:'Matrix - Per Operation'!N97)</f>
        <v>2</v>
      </c>
      <c r="G15" s="6">
        <f>SUMIF('Matrix - Per Operation'!U2:'Matrix - Per Operation'!U97, 13, 'Matrix - Per Operation'!O2:'Matrix - Per Operation'!O97)</f>
        <v>0</v>
      </c>
      <c r="H15" s="6">
        <f>SUMIF('Matrix - Per Operation'!U2:'Matrix - Per Operation'!U97, 13, 'Matrix - Per Operation'!P2:'Matrix - Per Operation'!P97)</f>
        <v>1</v>
      </c>
      <c r="I15" s="6">
        <f>SUMIF('Matrix - Per Operation'!U2:'Matrix - Per Operation'!U97, 13, 'Matrix - Per Operation'!Q2:'Matrix - Per Operation'!Q97)</f>
        <v>19</v>
      </c>
      <c r="J15" s="6">
        <f>SUMIF('Matrix - Per Operation'!U2:'Matrix - Per Operation'!U97, 13, 'Matrix - Per Operation'!R2:'Matrix - Per Operation'!R97)</f>
        <v>9</v>
      </c>
      <c r="K15" s="6">
        <f>SUMIF('Matrix - Per Operation'!U2:'Matrix - Per Operation'!U97, 13, 'Matrix - Per Operation'!S2:'Matrix - Per Operation'!S97)</f>
        <v>30</v>
      </c>
      <c r="L15" s="16">
        <f t="shared" si="0"/>
        <v>0.22900763358778625</v>
      </c>
      <c r="M15" s="6">
        <f>COUNTIF('Matrix - Per Operation'!U2:'Matrix - Per Operation'!U97, 13)</f>
        <v>6</v>
      </c>
      <c r="N15" s="25">
        <f>COUNTIFS('Matrix - Per Operation'!E2:E97, "*Encampment*", 'Matrix - Per Operation'!U2:U97, 13)</f>
        <v>5</v>
      </c>
      <c r="O15" s="18">
        <f>COUNTIFS('Matrix - Per Operation'!E2:E97, "*Repop*", 'Matrix - Per Operation'!U2:U97, 13)</f>
        <v>1</v>
      </c>
      <c r="P15" s="19" cm="1">
        <f t="array" ref="P15">SUMPRODUCT(--(ISNUMBER(SEARCH(",13,",","&amp;'Matrix - Per Operation'!V2:'Matrix - Per Operation'!V97&amp;","))))</f>
        <v>10</v>
      </c>
    </row>
    <row r="16" spans="1:16" ht="14.4" x14ac:dyDescent="0.3">
      <c r="A16" s="15" t="s">
        <v>247</v>
      </c>
      <c r="B16" s="6">
        <f>SUMIF('Matrix - Per Operation'!U2:'Matrix - Per Operation'!U97, 14, 'Matrix - Per Operation'!J2:'Matrix - Per Operation'!J97)</f>
        <v>283</v>
      </c>
      <c r="C16" s="6">
        <f>SUMIF('Matrix - Per Operation'!U2:'Matrix - Per Operation'!U97, 14, 'Matrix - Per Operation'!K2:'Matrix - Per Operation'!K97)</f>
        <v>660</v>
      </c>
      <c r="D16" s="6">
        <f>SUMIF('Matrix - Per Operation'!U2:'Matrix - Per Operation'!U97, 14, 'Matrix - Per Operation'!L2:'Matrix - Per Operation'!L97)</f>
        <v>348</v>
      </c>
      <c r="E16" s="6">
        <f>SUMIF('Matrix - Per Operation'!U2:'Matrix - Per Operation'!U97, 14, 'Matrix - Per Operation'!M2:'Matrix - Per Operation'!M97)</f>
        <v>11</v>
      </c>
      <c r="F16" s="6">
        <f>SUMIF('Matrix - Per Operation'!U2:'Matrix - Per Operation'!U97, 14, 'Matrix - Per Operation'!N2:'Matrix - Per Operation'!N97)</f>
        <v>12</v>
      </c>
      <c r="G16" s="6">
        <f>SUMIF('Matrix - Per Operation'!U2:'Matrix - Per Operation'!U97, 14, 'Matrix - Per Operation'!O2:'Matrix - Per Operation'!O97)</f>
        <v>3</v>
      </c>
      <c r="H16" s="6">
        <f>SUMIF('Matrix - Per Operation'!U2:'Matrix - Per Operation'!U97, 14, 'Matrix - Per Operation'!P2:'Matrix - Per Operation'!P97)</f>
        <v>0</v>
      </c>
      <c r="I16" s="6">
        <f>SUMIF('Matrix - Per Operation'!U2:'Matrix - Per Operation'!U97, 14, 'Matrix - Per Operation'!Q2:'Matrix - Per Operation'!Q97)</f>
        <v>108</v>
      </c>
      <c r="J16" s="6">
        <f>SUMIF('Matrix - Per Operation'!U2:'Matrix - Per Operation'!U97, 14, 'Matrix - Per Operation'!R2:'Matrix - Per Operation'!R97)</f>
        <v>53</v>
      </c>
      <c r="K16" s="6">
        <f>SUMIF('Matrix - Per Operation'!U2:'Matrix - Per Operation'!U97, 14, 'Matrix - Per Operation'!S2:'Matrix - Per Operation'!S97)</f>
        <v>125</v>
      </c>
      <c r="L16" s="16">
        <f t="shared" si="0"/>
        <v>0.26427061310782241</v>
      </c>
      <c r="M16" s="6">
        <f>COUNTIF('Matrix - Per Operation'!U2:'Matrix - Per Operation'!U97, 14)</f>
        <v>7</v>
      </c>
      <c r="N16" s="25">
        <f>COUNTIFS('Matrix - Per Operation'!E2:E97, "*Encampment*", 'Matrix - Per Operation'!U2:U97, 14)</f>
        <v>3</v>
      </c>
      <c r="O16" s="18">
        <f>COUNTIFS('Matrix - Per Operation'!E2:E97, "*Repop*", 'Matrix - Per Operation'!U2:U97, 14)</f>
        <v>0</v>
      </c>
      <c r="P16" s="19" cm="1">
        <f t="array" ref="P16">SUMPRODUCT(--(ISNUMBER(SEARCH(",14,",","&amp;'Matrix - Per Operation'!V2:'Matrix - Per Operation'!V97&amp;","))))</f>
        <v>12</v>
      </c>
    </row>
    <row r="17" spans="1:16" ht="14.4" x14ac:dyDescent="0.3">
      <c r="A17" s="15" t="s">
        <v>248</v>
      </c>
      <c r="B17" s="6">
        <f>SUMIF('Matrix - Per Operation'!U2:'Matrix - Per Operation'!U97, 15, 'Matrix - Per Operation'!J2:'Matrix - Per Operation'!J97)</f>
        <v>128</v>
      </c>
      <c r="C17" s="6">
        <f>SUMIF('Matrix - Per Operation'!U2:'Matrix - Per Operation'!U97, 15, 'Matrix - Per Operation'!K2:'Matrix - Per Operation'!K97)</f>
        <v>119</v>
      </c>
      <c r="D17" s="6">
        <f>SUMIF('Matrix - Per Operation'!U2:'Matrix - Per Operation'!U97, 15, 'Matrix - Per Operation'!L2:'Matrix - Per Operation'!L97)</f>
        <v>69</v>
      </c>
      <c r="E17" s="6">
        <f>SUMIF('Matrix - Per Operation'!U2:'Matrix - Per Operation'!U97, 15, 'Matrix - Per Operation'!M2:'Matrix - Per Operation'!M97)</f>
        <v>1</v>
      </c>
      <c r="F17" s="6">
        <f>SUMIF('Matrix - Per Operation'!U2:'Matrix - Per Operation'!U97, 15, 'Matrix - Per Operation'!N2:'Matrix - Per Operation'!N97)</f>
        <v>1</v>
      </c>
      <c r="G17" s="6">
        <f>SUMIF('Matrix - Per Operation'!U2:'Matrix - Per Operation'!U97, 15, 'Matrix - Per Operation'!O2:'Matrix - Per Operation'!O97)</f>
        <v>0</v>
      </c>
      <c r="H17" s="6">
        <f>SUMIF('Matrix - Per Operation'!U2:'Matrix - Per Operation'!U97, 15, 'Matrix - Per Operation'!P2:'Matrix - Per Operation'!P97)</f>
        <v>0</v>
      </c>
      <c r="I17" s="6">
        <f>SUMIF('Matrix - Per Operation'!U2:'Matrix - Per Operation'!U97, 15, 'Matrix - Per Operation'!Q2:'Matrix - Per Operation'!Q97)</f>
        <v>11</v>
      </c>
      <c r="J17" s="6">
        <f>SUMIF('Matrix - Per Operation'!U2:'Matrix - Per Operation'!U97, 15, 'Matrix - Per Operation'!R2:'Matrix - Per Operation'!R97)</f>
        <v>4</v>
      </c>
      <c r="K17" s="6">
        <f>SUMIF('Matrix - Per Operation'!U2:'Matrix - Per Operation'!U97, 15, 'Matrix - Per Operation'!S2:'Matrix - Per Operation'!S97)</f>
        <v>33</v>
      </c>
      <c r="L17" s="16">
        <f t="shared" si="0"/>
        <v>0.3235294117647059</v>
      </c>
      <c r="M17" s="6">
        <f>COUNTIF('Matrix - Per Operation'!U2:'Matrix - Per Operation'!U97, 15)</f>
        <v>4</v>
      </c>
      <c r="N17" s="25">
        <f>COUNTIFS('Matrix - Per Operation'!E2:E97, "*Encampment*", 'Matrix - Per Operation'!U2:U97, 15)</f>
        <v>2</v>
      </c>
      <c r="O17" s="18">
        <f>COUNTIFS('Matrix - Per Operation'!E2:E97, "*Repop*", 'Matrix - Per Operation'!U2:U97, 15)</f>
        <v>2</v>
      </c>
      <c r="P17" s="19" cm="1">
        <f t="array" ref="P17">SUMPRODUCT(--(ISNUMBER(SEARCH(",15,",","&amp;'Matrix - Per Operation'!V2:'Matrix - Per Operation'!V97&amp;","))))</f>
        <v>3</v>
      </c>
    </row>
    <row r="18" spans="1:16" ht="14.4" x14ac:dyDescent="0.3"/>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9007-A417-4A8A-971B-D35C71EC4837}">
  <dimension ref="A1:J103"/>
  <sheetViews>
    <sheetView showGridLines="0" topLeftCell="A40" workbookViewId="0">
      <selection activeCell="L12" sqref="L12"/>
    </sheetView>
  </sheetViews>
  <sheetFormatPr defaultRowHeight="14.4" x14ac:dyDescent="0.3"/>
  <cols>
    <col min="1" max="1" width="51.6640625" bestFit="1" customWidth="1"/>
    <col min="2" max="2" width="14.44140625" customWidth="1"/>
    <col min="3" max="3" width="11.88671875" customWidth="1"/>
    <col min="4" max="4" width="10" customWidth="1"/>
    <col min="6" max="6" width="19.5546875" customWidth="1"/>
    <col min="8" max="8" width="24.33203125" bestFit="1" customWidth="1"/>
    <col min="9" max="9" width="17" customWidth="1"/>
    <col min="12" max="12" width="40" customWidth="1"/>
    <col min="13" max="13" width="20.5546875" bestFit="1" customWidth="1"/>
    <col min="14" max="14" width="11.44140625" customWidth="1"/>
  </cols>
  <sheetData>
    <row r="1" spans="1:10" x14ac:dyDescent="0.3">
      <c r="A1" s="70"/>
      <c r="B1" s="86" t="s">
        <v>249</v>
      </c>
      <c r="C1" s="87"/>
      <c r="D1" s="87"/>
      <c r="E1" s="87"/>
      <c r="F1" s="87"/>
      <c r="G1" s="87"/>
      <c r="H1" s="87"/>
      <c r="I1" s="87"/>
      <c r="J1" s="88"/>
    </row>
    <row r="2" spans="1:10" x14ac:dyDescent="0.3">
      <c r="A2" s="74" t="s">
        <v>250</v>
      </c>
      <c r="B2" s="75" t="s">
        <v>251</v>
      </c>
      <c r="C2" s="75" t="s">
        <v>221</v>
      </c>
      <c r="D2" s="75" t="s">
        <v>222</v>
      </c>
      <c r="E2" s="75" t="s">
        <v>252</v>
      </c>
      <c r="F2" s="75" t="s">
        <v>253</v>
      </c>
      <c r="G2" s="75" t="s">
        <v>225</v>
      </c>
      <c r="H2" s="75" t="s">
        <v>254</v>
      </c>
      <c r="I2" s="75" t="s">
        <v>255</v>
      </c>
      <c r="J2" s="76" t="s">
        <v>256</v>
      </c>
    </row>
    <row r="3" spans="1:10" x14ac:dyDescent="0.3">
      <c r="A3" s="71" t="s">
        <v>49</v>
      </c>
      <c r="B3" s="34">
        <v>6</v>
      </c>
      <c r="C3" s="33"/>
      <c r="D3" s="34">
        <v>2</v>
      </c>
      <c r="E3" s="33"/>
      <c r="F3" s="33"/>
      <c r="G3" s="34">
        <v>5</v>
      </c>
      <c r="H3" s="34">
        <v>6</v>
      </c>
      <c r="I3" s="34">
        <v>23</v>
      </c>
      <c r="J3" s="73">
        <v>42</v>
      </c>
    </row>
    <row r="4" spans="1:10" x14ac:dyDescent="0.3">
      <c r="A4" s="71" t="s">
        <v>52</v>
      </c>
      <c r="B4" s="34">
        <v>10</v>
      </c>
      <c r="C4" s="33"/>
      <c r="D4" s="33"/>
      <c r="E4" s="33"/>
      <c r="F4" s="33"/>
      <c r="G4" s="33"/>
      <c r="H4" s="33"/>
      <c r="I4" s="34">
        <v>10</v>
      </c>
      <c r="J4" s="73">
        <v>20</v>
      </c>
    </row>
    <row r="5" spans="1:10" x14ac:dyDescent="0.3">
      <c r="A5" s="71" t="s">
        <v>121</v>
      </c>
      <c r="B5" s="34">
        <v>10</v>
      </c>
      <c r="C5" s="34">
        <v>1</v>
      </c>
      <c r="D5" s="33"/>
      <c r="E5" s="33"/>
      <c r="F5" s="33"/>
      <c r="G5" s="33"/>
      <c r="H5" s="34">
        <v>1</v>
      </c>
      <c r="I5" s="34">
        <v>1</v>
      </c>
      <c r="J5" s="73">
        <v>13</v>
      </c>
    </row>
    <row r="6" spans="1:10" x14ac:dyDescent="0.3">
      <c r="A6" s="71" t="s">
        <v>119</v>
      </c>
      <c r="B6" s="34">
        <v>42</v>
      </c>
      <c r="C6" s="33"/>
      <c r="D6" s="33"/>
      <c r="E6" s="33"/>
      <c r="F6" s="33"/>
      <c r="G6" s="33"/>
      <c r="H6" s="34">
        <v>2</v>
      </c>
      <c r="I6" s="34">
        <v>2</v>
      </c>
      <c r="J6" s="73">
        <v>46</v>
      </c>
    </row>
    <row r="7" spans="1:10" x14ac:dyDescent="0.3">
      <c r="A7" s="71" t="s">
        <v>40</v>
      </c>
      <c r="B7" s="34">
        <v>13</v>
      </c>
      <c r="C7" s="33"/>
      <c r="D7" s="34">
        <v>2</v>
      </c>
      <c r="E7" s="34">
        <v>1</v>
      </c>
      <c r="F7" s="33"/>
      <c r="G7" s="34">
        <v>3</v>
      </c>
      <c r="H7" s="34">
        <v>1</v>
      </c>
      <c r="I7" s="34">
        <v>8</v>
      </c>
      <c r="J7" s="73">
        <v>28</v>
      </c>
    </row>
    <row r="8" spans="1:10" x14ac:dyDescent="0.3">
      <c r="A8" s="71" t="s">
        <v>135</v>
      </c>
      <c r="B8" s="34">
        <v>4</v>
      </c>
      <c r="C8" s="33"/>
      <c r="D8" s="33"/>
      <c r="E8" s="33"/>
      <c r="F8" s="33"/>
      <c r="G8" s="33"/>
      <c r="H8" s="33"/>
      <c r="I8" s="33"/>
      <c r="J8" s="73">
        <v>4</v>
      </c>
    </row>
    <row r="9" spans="1:10" x14ac:dyDescent="0.3">
      <c r="A9" s="71" t="s">
        <v>184</v>
      </c>
      <c r="B9" s="34">
        <v>1</v>
      </c>
      <c r="C9" s="33"/>
      <c r="D9" s="33"/>
      <c r="E9" s="33"/>
      <c r="F9" s="33"/>
      <c r="G9" s="33"/>
      <c r="H9" s="33"/>
      <c r="I9" s="33"/>
      <c r="J9" s="73">
        <v>1</v>
      </c>
    </row>
    <row r="10" spans="1:10" x14ac:dyDescent="0.3">
      <c r="A10" s="71" t="s">
        <v>45</v>
      </c>
      <c r="B10" s="34">
        <v>12</v>
      </c>
      <c r="C10" s="34">
        <v>2</v>
      </c>
      <c r="D10" s="34">
        <v>1</v>
      </c>
      <c r="E10" s="34">
        <v>1</v>
      </c>
      <c r="F10" s="33"/>
      <c r="G10" s="34">
        <v>3</v>
      </c>
      <c r="H10" s="34">
        <v>2</v>
      </c>
      <c r="I10" s="34">
        <v>17</v>
      </c>
      <c r="J10" s="73">
        <v>38</v>
      </c>
    </row>
    <row r="11" spans="1:10" x14ac:dyDescent="0.3">
      <c r="A11" s="71" t="s">
        <v>62</v>
      </c>
      <c r="B11" s="34">
        <v>1</v>
      </c>
      <c r="C11" s="33"/>
      <c r="D11" s="33"/>
      <c r="E11" s="33"/>
      <c r="F11" s="33"/>
      <c r="G11" s="33"/>
      <c r="H11" s="33"/>
      <c r="I11" s="33"/>
      <c r="J11" s="73">
        <v>1</v>
      </c>
    </row>
    <row r="12" spans="1:10" x14ac:dyDescent="0.3">
      <c r="A12" s="71" t="s">
        <v>191</v>
      </c>
      <c r="B12" s="34">
        <v>2</v>
      </c>
      <c r="C12" s="33"/>
      <c r="D12" s="33"/>
      <c r="E12" s="33"/>
      <c r="F12" s="33"/>
      <c r="G12" s="33"/>
      <c r="H12" s="33"/>
      <c r="I12" s="33"/>
      <c r="J12" s="73">
        <v>2</v>
      </c>
    </row>
    <row r="13" spans="1:10" x14ac:dyDescent="0.3">
      <c r="A13" s="71" t="s">
        <v>22</v>
      </c>
      <c r="B13" s="34">
        <v>12</v>
      </c>
      <c r="C13" s="33"/>
      <c r="D13" s="34">
        <v>1</v>
      </c>
      <c r="E13" s="33"/>
      <c r="F13" s="33"/>
      <c r="G13" s="34">
        <v>6</v>
      </c>
      <c r="H13" s="34">
        <v>2</v>
      </c>
      <c r="I13" s="34">
        <v>8</v>
      </c>
      <c r="J13" s="73">
        <v>29</v>
      </c>
    </row>
    <row r="14" spans="1:10" x14ac:dyDescent="0.3">
      <c r="A14" s="71" t="s">
        <v>124</v>
      </c>
      <c r="B14" s="34">
        <v>2</v>
      </c>
      <c r="C14" s="33"/>
      <c r="D14" s="33"/>
      <c r="E14" s="33"/>
      <c r="F14" s="33"/>
      <c r="G14" s="33"/>
      <c r="H14" s="34">
        <v>1</v>
      </c>
      <c r="I14" s="33"/>
      <c r="J14" s="73">
        <v>3</v>
      </c>
    </row>
    <row r="15" spans="1:10" x14ac:dyDescent="0.3">
      <c r="A15" s="71" t="s">
        <v>134</v>
      </c>
      <c r="B15" s="34">
        <v>7</v>
      </c>
      <c r="C15" s="33"/>
      <c r="D15" s="33"/>
      <c r="E15" s="33"/>
      <c r="F15" s="33"/>
      <c r="G15" s="34">
        <v>2</v>
      </c>
      <c r="H15" s="34">
        <v>1</v>
      </c>
      <c r="I15" s="33"/>
      <c r="J15" s="73">
        <v>10</v>
      </c>
    </row>
    <row r="16" spans="1:10" x14ac:dyDescent="0.3">
      <c r="A16" s="71" t="s">
        <v>166</v>
      </c>
      <c r="B16" s="34">
        <v>10</v>
      </c>
      <c r="C16" s="33"/>
      <c r="D16" s="33"/>
      <c r="E16" s="33"/>
      <c r="F16" s="33"/>
      <c r="G16" s="34">
        <v>3</v>
      </c>
      <c r="H16" s="34">
        <v>4</v>
      </c>
      <c r="I16" s="33"/>
      <c r="J16" s="73">
        <v>17</v>
      </c>
    </row>
    <row r="17" spans="1:10" x14ac:dyDescent="0.3">
      <c r="A17" s="71" t="s">
        <v>182</v>
      </c>
      <c r="B17" s="34">
        <v>2</v>
      </c>
      <c r="C17" s="33"/>
      <c r="D17" s="33"/>
      <c r="E17" s="33"/>
      <c r="F17" s="33"/>
      <c r="G17" s="33"/>
      <c r="H17" s="33"/>
      <c r="I17" s="33"/>
      <c r="J17" s="73">
        <v>2</v>
      </c>
    </row>
    <row r="18" spans="1:10" x14ac:dyDescent="0.3">
      <c r="A18" s="71" t="s">
        <v>190</v>
      </c>
      <c r="B18" s="34">
        <v>3</v>
      </c>
      <c r="C18" s="33"/>
      <c r="D18" s="33"/>
      <c r="E18" s="33"/>
      <c r="F18" s="33"/>
      <c r="G18" s="33"/>
      <c r="H18" s="33"/>
      <c r="I18" s="33"/>
      <c r="J18" s="73">
        <v>3</v>
      </c>
    </row>
    <row r="19" spans="1:10" x14ac:dyDescent="0.3">
      <c r="A19" s="72" t="s">
        <v>54</v>
      </c>
      <c r="B19" s="34">
        <v>13</v>
      </c>
      <c r="C19" s="34">
        <v>4</v>
      </c>
      <c r="D19" s="34">
        <v>3</v>
      </c>
      <c r="E19" s="33"/>
      <c r="F19" s="33"/>
      <c r="G19" s="34">
        <v>13</v>
      </c>
      <c r="H19" s="34">
        <v>3</v>
      </c>
      <c r="I19" s="34">
        <v>15</v>
      </c>
      <c r="J19" s="73">
        <v>51</v>
      </c>
    </row>
    <row r="20" spans="1:10" x14ac:dyDescent="0.3">
      <c r="A20" s="71" t="s">
        <v>197</v>
      </c>
      <c r="B20" s="34">
        <v>39</v>
      </c>
      <c r="C20" s="33"/>
      <c r="D20" s="33"/>
      <c r="E20" s="33"/>
      <c r="F20" s="33"/>
      <c r="G20" s="33"/>
      <c r="H20" s="33"/>
      <c r="I20" s="33"/>
      <c r="J20" s="73">
        <v>39</v>
      </c>
    </row>
    <row r="21" spans="1:10" x14ac:dyDescent="0.3">
      <c r="A21" s="72" t="s">
        <v>169</v>
      </c>
      <c r="B21" s="34">
        <v>7</v>
      </c>
      <c r="C21" s="33"/>
      <c r="D21" s="33"/>
      <c r="E21" s="33"/>
      <c r="F21" s="33"/>
      <c r="G21" s="34">
        <v>1</v>
      </c>
      <c r="H21" s="34">
        <v>2</v>
      </c>
      <c r="I21" s="33"/>
      <c r="J21" s="73">
        <v>10</v>
      </c>
    </row>
    <row r="22" spans="1:10" x14ac:dyDescent="0.3">
      <c r="A22" s="72" t="s">
        <v>161</v>
      </c>
      <c r="B22" s="34">
        <v>4</v>
      </c>
      <c r="C22" s="33"/>
      <c r="D22" s="33"/>
      <c r="E22" s="33"/>
      <c r="F22" s="33"/>
      <c r="G22" s="33"/>
      <c r="H22" s="33"/>
      <c r="I22" s="33"/>
      <c r="J22" s="73">
        <v>4</v>
      </c>
    </row>
    <row r="23" spans="1:10" x14ac:dyDescent="0.3">
      <c r="A23" s="71" t="s">
        <v>160</v>
      </c>
      <c r="B23" s="34">
        <v>10</v>
      </c>
      <c r="C23" s="33"/>
      <c r="D23" s="33"/>
      <c r="E23" s="33"/>
      <c r="F23" s="33"/>
      <c r="G23" s="33"/>
      <c r="H23" s="33"/>
      <c r="I23" s="33"/>
      <c r="J23" s="73">
        <v>10</v>
      </c>
    </row>
    <row r="24" spans="1:10" x14ac:dyDescent="0.3">
      <c r="A24" s="72" t="s">
        <v>185</v>
      </c>
      <c r="B24" s="34">
        <v>16</v>
      </c>
      <c r="C24" s="33"/>
      <c r="D24" s="33"/>
      <c r="E24" s="33"/>
      <c r="F24" s="33"/>
      <c r="G24" s="34">
        <v>1</v>
      </c>
      <c r="H24" s="34">
        <v>2</v>
      </c>
      <c r="I24" s="33"/>
      <c r="J24" s="73">
        <v>19</v>
      </c>
    </row>
    <row r="25" spans="1:10" x14ac:dyDescent="0.3">
      <c r="A25" s="71" t="s">
        <v>102</v>
      </c>
      <c r="B25" s="34">
        <v>25</v>
      </c>
      <c r="C25" s="33"/>
      <c r="D25" s="33"/>
      <c r="E25" s="34">
        <v>1</v>
      </c>
      <c r="F25" s="33"/>
      <c r="G25" s="34">
        <v>8</v>
      </c>
      <c r="H25" s="34">
        <v>12</v>
      </c>
      <c r="I25" s="34">
        <v>6</v>
      </c>
      <c r="J25" s="73">
        <v>52</v>
      </c>
    </row>
    <row r="26" spans="1:10" x14ac:dyDescent="0.3">
      <c r="A26" s="72" t="s">
        <v>163</v>
      </c>
      <c r="B26" s="34">
        <v>4</v>
      </c>
      <c r="C26" s="33"/>
      <c r="D26" s="33"/>
      <c r="E26" s="33"/>
      <c r="F26" s="33"/>
      <c r="G26" s="34">
        <v>2</v>
      </c>
      <c r="H26" s="33"/>
      <c r="I26" s="33"/>
      <c r="J26" s="73">
        <v>6</v>
      </c>
    </row>
    <row r="27" spans="1:10" x14ac:dyDescent="0.3">
      <c r="A27" s="72" t="s">
        <v>80</v>
      </c>
      <c r="B27" s="34">
        <v>8</v>
      </c>
      <c r="C27" s="34">
        <v>1</v>
      </c>
      <c r="D27" s="33"/>
      <c r="E27" s="33"/>
      <c r="F27" s="33"/>
      <c r="G27" s="34">
        <v>12</v>
      </c>
      <c r="H27" s="34">
        <v>1</v>
      </c>
      <c r="I27" s="34">
        <v>9</v>
      </c>
      <c r="J27" s="73">
        <v>31</v>
      </c>
    </row>
    <row r="28" spans="1:10" x14ac:dyDescent="0.3">
      <c r="A28" s="72" t="s">
        <v>85</v>
      </c>
      <c r="B28" s="34">
        <v>11</v>
      </c>
      <c r="C28" s="33"/>
      <c r="D28" s="34">
        <v>1</v>
      </c>
      <c r="E28" s="33"/>
      <c r="F28" s="33"/>
      <c r="G28" s="34">
        <v>9</v>
      </c>
      <c r="H28" s="34">
        <v>4</v>
      </c>
      <c r="I28" s="34">
        <v>17</v>
      </c>
      <c r="J28" s="73">
        <v>42</v>
      </c>
    </row>
    <row r="29" spans="1:10" x14ac:dyDescent="0.3">
      <c r="A29" s="72" t="s">
        <v>90</v>
      </c>
      <c r="B29" s="34">
        <v>29</v>
      </c>
      <c r="C29" s="34">
        <v>1</v>
      </c>
      <c r="D29" s="34">
        <v>2</v>
      </c>
      <c r="E29" s="33"/>
      <c r="F29" s="33"/>
      <c r="G29" s="34">
        <v>12</v>
      </c>
      <c r="H29" s="34">
        <v>8</v>
      </c>
      <c r="I29" s="34">
        <v>5</v>
      </c>
      <c r="J29" s="73">
        <v>57</v>
      </c>
    </row>
    <row r="30" spans="1:10" x14ac:dyDescent="0.3">
      <c r="A30" s="71" t="s">
        <v>105</v>
      </c>
      <c r="B30" s="34">
        <v>23</v>
      </c>
      <c r="C30" s="34">
        <v>2</v>
      </c>
      <c r="D30" s="33"/>
      <c r="E30" s="33"/>
      <c r="F30" s="34">
        <v>1</v>
      </c>
      <c r="G30" s="34">
        <v>2</v>
      </c>
      <c r="H30" s="34">
        <v>3</v>
      </c>
      <c r="I30" s="34">
        <v>4</v>
      </c>
      <c r="J30" s="73">
        <v>35</v>
      </c>
    </row>
    <row r="31" spans="1:10" x14ac:dyDescent="0.3">
      <c r="A31" s="71" t="s">
        <v>147</v>
      </c>
      <c r="B31" s="34">
        <v>2</v>
      </c>
      <c r="C31" s="33"/>
      <c r="D31" s="33"/>
      <c r="E31" s="33"/>
      <c r="F31" s="33"/>
      <c r="G31" s="33"/>
      <c r="H31" s="33"/>
      <c r="I31" s="33"/>
      <c r="J31" s="73">
        <v>2</v>
      </c>
    </row>
    <row r="32" spans="1:10" x14ac:dyDescent="0.3">
      <c r="A32" s="72" t="s">
        <v>117</v>
      </c>
      <c r="B32" s="34">
        <v>10</v>
      </c>
      <c r="C32" s="33"/>
      <c r="D32" s="33"/>
      <c r="E32" s="33"/>
      <c r="F32" s="33"/>
      <c r="G32" s="33"/>
      <c r="H32" s="34">
        <v>1</v>
      </c>
      <c r="I32" s="33"/>
      <c r="J32" s="73">
        <v>11</v>
      </c>
    </row>
    <row r="33" spans="1:10" x14ac:dyDescent="0.3">
      <c r="A33" s="72" t="s">
        <v>168</v>
      </c>
      <c r="B33" s="33"/>
      <c r="C33" s="33"/>
      <c r="D33" s="33"/>
      <c r="E33" s="33"/>
      <c r="F33" s="33"/>
      <c r="G33" s="33"/>
      <c r="H33" s="34">
        <v>2</v>
      </c>
      <c r="I33" s="33"/>
      <c r="J33" s="73">
        <v>2</v>
      </c>
    </row>
    <row r="34" spans="1:10" x14ac:dyDescent="0.3">
      <c r="A34" s="72" t="s">
        <v>187</v>
      </c>
      <c r="B34" s="34">
        <v>1</v>
      </c>
      <c r="C34" s="33"/>
      <c r="D34" s="33"/>
      <c r="E34" s="33"/>
      <c r="F34" s="33"/>
      <c r="G34" s="34">
        <v>1</v>
      </c>
      <c r="H34" s="33"/>
      <c r="I34" s="33"/>
      <c r="J34" s="73">
        <v>2</v>
      </c>
    </row>
    <row r="35" spans="1:10" x14ac:dyDescent="0.3">
      <c r="A35" s="71" t="s">
        <v>64</v>
      </c>
      <c r="B35" s="34">
        <v>27</v>
      </c>
      <c r="C35" s="34">
        <v>1</v>
      </c>
      <c r="D35" s="33"/>
      <c r="E35" s="33"/>
      <c r="F35" s="33"/>
      <c r="G35" s="34">
        <v>9</v>
      </c>
      <c r="H35" s="34">
        <v>2</v>
      </c>
      <c r="I35" s="34">
        <v>5</v>
      </c>
      <c r="J35" s="73">
        <v>44</v>
      </c>
    </row>
    <row r="36" spans="1:10" x14ac:dyDescent="0.3">
      <c r="A36" s="71" t="s">
        <v>94</v>
      </c>
      <c r="B36" s="34">
        <v>33</v>
      </c>
      <c r="C36" s="34">
        <v>2</v>
      </c>
      <c r="D36" s="33"/>
      <c r="E36" s="33"/>
      <c r="F36" s="33"/>
      <c r="G36" s="34">
        <v>9</v>
      </c>
      <c r="H36" s="34">
        <v>5</v>
      </c>
      <c r="I36" s="34">
        <v>7</v>
      </c>
      <c r="J36" s="73">
        <v>56</v>
      </c>
    </row>
    <row r="37" spans="1:10" x14ac:dyDescent="0.3">
      <c r="A37" s="71" t="s">
        <v>56</v>
      </c>
      <c r="B37" s="34">
        <v>3</v>
      </c>
      <c r="C37" s="34">
        <v>1</v>
      </c>
      <c r="D37" s="33"/>
      <c r="E37" s="33"/>
      <c r="F37" s="33"/>
      <c r="G37" s="34">
        <v>1</v>
      </c>
      <c r="H37" s="34">
        <v>1</v>
      </c>
      <c r="I37" s="34">
        <v>1</v>
      </c>
      <c r="J37" s="73">
        <v>7</v>
      </c>
    </row>
    <row r="38" spans="1:10" x14ac:dyDescent="0.3">
      <c r="A38" s="72" t="s">
        <v>136</v>
      </c>
      <c r="B38" s="34">
        <v>11</v>
      </c>
      <c r="C38" s="33"/>
      <c r="D38" s="33"/>
      <c r="E38" s="33"/>
      <c r="F38" s="33"/>
      <c r="G38" s="33"/>
      <c r="H38" s="33"/>
      <c r="I38" s="33"/>
      <c r="J38" s="73">
        <v>11</v>
      </c>
    </row>
    <row r="39" spans="1:10" x14ac:dyDescent="0.3">
      <c r="A39" s="72" t="s">
        <v>151</v>
      </c>
      <c r="B39" s="34">
        <v>1</v>
      </c>
      <c r="C39" s="33"/>
      <c r="D39" s="33"/>
      <c r="E39" s="33"/>
      <c r="F39" s="33"/>
      <c r="G39" s="33"/>
      <c r="H39" s="34">
        <v>2</v>
      </c>
      <c r="I39" s="33"/>
      <c r="J39" s="73">
        <v>3</v>
      </c>
    </row>
    <row r="40" spans="1:10" x14ac:dyDescent="0.3">
      <c r="A40" s="72" t="s">
        <v>154</v>
      </c>
      <c r="B40" s="34">
        <v>4</v>
      </c>
      <c r="C40" s="33"/>
      <c r="D40" s="33"/>
      <c r="E40" s="33"/>
      <c r="F40" s="33"/>
      <c r="G40" s="33"/>
      <c r="H40" s="33"/>
      <c r="I40" s="33"/>
      <c r="J40" s="73">
        <v>4</v>
      </c>
    </row>
    <row r="41" spans="1:10" x14ac:dyDescent="0.3">
      <c r="A41" s="72" t="s">
        <v>155</v>
      </c>
      <c r="B41" s="34">
        <v>2</v>
      </c>
      <c r="C41" s="33"/>
      <c r="D41" s="33"/>
      <c r="E41" s="33"/>
      <c r="F41" s="33"/>
      <c r="G41" s="33"/>
      <c r="H41" s="34">
        <v>1</v>
      </c>
      <c r="I41" s="33"/>
      <c r="J41" s="73">
        <v>3</v>
      </c>
    </row>
    <row r="42" spans="1:10" x14ac:dyDescent="0.3">
      <c r="A42" s="71" t="s">
        <v>43</v>
      </c>
      <c r="B42" s="34">
        <v>24</v>
      </c>
      <c r="C42" s="33"/>
      <c r="D42" s="33"/>
      <c r="E42" s="33"/>
      <c r="F42" s="33"/>
      <c r="G42" s="34">
        <v>13</v>
      </c>
      <c r="H42" s="34">
        <v>1</v>
      </c>
      <c r="I42" s="34">
        <v>13</v>
      </c>
      <c r="J42" s="73">
        <v>51</v>
      </c>
    </row>
    <row r="43" spans="1:10" x14ac:dyDescent="0.3">
      <c r="A43" s="71" t="s">
        <v>69</v>
      </c>
      <c r="B43" s="34">
        <v>33</v>
      </c>
      <c r="C43" s="33"/>
      <c r="D43" s="34">
        <v>2</v>
      </c>
      <c r="E43" s="33"/>
      <c r="F43" s="33"/>
      <c r="G43" s="34">
        <v>11</v>
      </c>
      <c r="H43" s="34">
        <v>3</v>
      </c>
      <c r="I43" s="34">
        <v>15</v>
      </c>
      <c r="J43" s="73">
        <v>64</v>
      </c>
    </row>
    <row r="44" spans="1:10" x14ac:dyDescent="0.3">
      <c r="A44" s="71" t="s">
        <v>140</v>
      </c>
      <c r="B44" s="34">
        <v>7</v>
      </c>
      <c r="C44" s="33"/>
      <c r="D44" s="33"/>
      <c r="E44" s="33"/>
      <c r="F44" s="33"/>
      <c r="G44" s="33"/>
      <c r="H44" s="34">
        <v>1</v>
      </c>
      <c r="I44" s="33"/>
      <c r="J44" s="73">
        <v>8</v>
      </c>
    </row>
    <row r="45" spans="1:10" x14ac:dyDescent="0.3">
      <c r="A45" s="71" t="s">
        <v>156</v>
      </c>
      <c r="B45" s="34">
        <v>2</v>
      </c>
      <c r="C45" s="33"/>
      <c r="D45" s="33"/>
      <c r="E45" s="33"/>
      <c r="F45" s="33"/>
      <c r="G45" s="34">
        <v>2</v>
      </c>
      <c r="H45" s="34">
        <v>1</v>
      </c>
      <c r="I45" s="33"/>
      <c r="J45" s="73">
        <v>5</v>
      </c>
    </row>
    <row r="46" spans="1:10" x14ac:dyDescent="0.3">
      <c r="A46" s="71" t="s">
        <v>34</v>
      </c>
      <c r="B46" s="34">
        <v>5</v>
      </c>
      <c r="C46" s="33"/>
      <c r="D46" s="33"/>
      <c r="E46" s="33"/>
      <c r="F46" s="33"/>
      <c r="G46" s="33"/>
      <c r="H46" s="33"/>
      <c r="I46" s="33"/>
      <c r="J46" s="73">
        <v>5</v>
      </c>
    </row>
    <row r="47" spans="1:10" x14ac:dyDescent="0.3">
      <c r="A47" s="71" t="s">
        <v>162</v>
      </c>
      <c r="B47" s="34">
        <v>3</v>
      </c>
      <c r="C47" s="33"/>
      <c r="D47" s="33"/>
      <c r="E47" s="33"/>
      <c r="F47" s="33"/>
      <c r="G47" s="33"/>
      <c r="H47" s="33"/>
      <c r="I47" s="33"/>
      <c r="J47" s="73">
        <v>3</v>
      </c>
    </row>
    <row r="48" spans="1:10" x14ac:dyDescent="0.3">
      <c r="A48" s="72" t="s">
        <v>199</v>
      </c>
      <c r="B48" s="34">
        <v>3</v>
      </c>
      <c r="C48" s="33"/>
      <c r="D48" s="33"/>
      <c r="E48" s="33"/>
      <c r="F48" s="33"/>
      <c r="G48" s="33"/>
      <c r="H48" s="34">
        <v>1</v>
      </c>
      <c r="I48" s="33"/>
      <c r="J48" s="73">
        <v>4</v>
      </c>
    </row>
    <row r="49" spans="1:10" x14ac:dyDescent="0.3">
      <c r="A49" s="71" t="s">
        <v>120</v>
      </c>
      <c r="B49" s="34">
        <v>25</v>
      </c>
      <c r="C49" s="33"/>
      <c r="D49" s="33"/>
      <c r="E49" s="33"/>
      <c r="F49" s="33"/>
      <c r="G49" s="34">
        <v>3</v>
      </c>
      <c r="H49" s="34">
        <v>1</v>
      </c>
      <c r="I49" s="34">
        <v>2</v>
      </c>
      <c r="J49" s="73">
        <v>31</v>
      </c>
    </row>
    <row r="50" spans="1:10" x14ac:dyDescent="0.3">
      <c r="A50" s="71" t="s">
        <v>183</v>
      </c>
      <c r="B50" s="34">
        <v>18</v>
      </c>
      <c r="C50" s="33"/>
      <c r="D50" s="33"/>
      <c r="E50" s="33"/>
      <c r="F50" s="33"/>
      <c r="G50" s="34">
        <v>1</v>
      </c>
      <c r="H50" s="33"/>
      <c r="I50" s="33"/>
      <c r="J50" s="73">
        <v>19</v>
      </c>
    </row>
    <row r="51" spans="1:10" x14ac:dyDescent="0.3">
      <c r="A51" s="71" t="s">
        <v>193</v>
      </c>
      <c r="B51" s="34">
        <v>10</v>
      </c>
      <c r="C51" s="33"/>
      <c r="D51" s="33"/>
      <c r="E51" s="33"/>
      <c r="F51" s="33"/>
      <c r="G51" s="33"/>
      <c r="H51" s="33"/>
      <c r="I51" s="33"/>
      <c r="J51" s="73">
        <v>10</v>
      </c>
    </row>
    <row r="52" spans="1:10" x14ac:dyDescent="0.3">
      <c r="A52" s="71" t="s">
        <v>84</v>
      </c>
      <c r="B52" s="34">
        <v>18</v>
      </c>
      <c r="C52" s="33"/>
      <c r="D52" s="34">
        <v>1</v>
      </c>
      <c r="E52" s="33"/>
      <c r="F52" s="33"/>
      <c r="G52" s="34">
        <v>6</v>
      </c>
      <c r="H52" s="34">
        <v>1</v>
      </c>
      <c r="I52" s="34">
        <v>25</v>
      </c>
      <c r="J52" s="73">
        <v>51</v>
      </c>
    </row>
    <row r="53" spans="1:10" x14ac:dyDescent="0.3">
      <c r="A53" s="71" t="s">
        <v>98</v>
      </c>
      <c r="B53" s="34">
        <v>8</v>
      </c>
      <c r="C53" s="33"/>
      <c r="D53" s="33"/>
      <c r="E53" s="33"/>
      <c r="F53" s="33"/>
      <c r="G53" s="34">
        <v>5</v>
      </c>
      <c r="H53" s="34">
        <v>4</v>
      </c>
      <c r="I53" s="34">
        <v>25</v>
      </c>
      <c r="J53" s="73">
        <v>42</v>
      </c>
    </row>
    <row r="54" spans="1:10" x14ac:dyDescent="0.3">
      <c r="A54" s="71" t="s">
        <v>142</v>
      </c>
      <c r="B54" s="34">
        <v>8</v>
      </c>
      <c r="C54" s="33"/>
      <c r="D54" s="34">
        <v>1</v>
      </c>
      <c r="E54" s="33"/>
      <c r="F54" s="33"/>
      <c r="G54" s="33"/>
      <c r="H54" s="34">
        <v>1</v>
      </c>
      <c r="I54" s="33"/>
      <c r="J54" s="73">
        <v>10</v>
      </c>
    </row>
    <row r="55" spans="1:10" x14ac:dyDescent="0.3">
      <c r="A55" s="71" t="s">
        <v>92</v>
      </c>
      <c r="B55" s="34">
        <v>18</v>
      </c>
      <c r="C55" s="33"/>
      <c r="D55" s="33"/>
      <c r="E55" s="33"/>
      <c r="F55" s="34">
        <v>1</v>
      </c>
      <c r="G55" s="34">
        <v>3</v>
      </c>
      <c r="H55" s="34">
        <v>2</v>
      </c>
      <c r="I55" s="34">
        <v>9</v>
      </c>
      <c r="J55" s="73">
        <v>33</v>
      </c>
    </row>
    <row r="56" spans="1:10" x14ac:dyDescent="0.3">
      <c r="A56" s="71" t="s">
        <v>123</v>
      </c>
      <c r="B56" s="34">
        <v>1</v>
      </c>
      <c r="C56" s="33"/>
      <c r="D56" s="33"/>
      <c r="E56" s="33"/>
      <c r="F56" s="33"/>
      <c r="G56" s="33"/>
      <c r="H56" s="33"/>
      <c r="I56" s="34">
        <v>1</v>
      </c>
      <c r="J56" s="73">
        <v>2</v>
      </c>
    </row>
    <row r="57" spans="1:10" x14ac:dyDescent="0.3">
      <c r="A57" s="71" t="s">
        <v>71</v>
      </c>
      <c r="B57" s="34">
        <v>44</v>
      </c>
      <c r="C57" s="34">
        <v>1</v>
      </c>
      <c r="D57" s="34">
        <v>2</v>
      </c>
      <c r="E57" s="33"/>
      <c r="F57" s="33"/>
      <c r="G57" s="34">
        <v>15</v>
      </c>
      <c r="H57" s="34">
        <v>6</v>
      </c>
      <c r="I57" s="34">
        <v>42</v>
      </c>
      <c r="J57" s="73">
        <v>110</v>
      </c>
    </row>
    <row r="58" spans="1:10" x14ac:dyDescent="0.3">
      <c r="A58" s="71" t="s">
        <v>73</v>
      </c>
      <c r="B58" s="34">
        <v>16</v>
      </c>
      <c r="C58" s="33"/>
      <c r="D58" s="33"/>
      <c r="E58" s="33"/>
      <c r="F58" s="33"/>
      <c r="G58" s="34">
        <v>4</v>
      </c>
      <c r="H58" s="34">
        <v>2</v>
      </c>
      <c r="I58" s="34">
        <v>1</v>
      </c>
      <c r="J58" s="73">
        <v>23</v>
      </c>
    </row>
    <row r="59" spans="1:10" x14ac:dyDescent="0.3">
      <c r="A59" s="71" t="s">
        <v>75</v>
      </c>
      <c r="B59" s="34">
        <v>171</v>
      </c>
      <c r="C59" s="34">
        <v>2</v>
      </c>
      <c r="D59" s="34">
        <v>5</v>
      </c>
      <c r="E59" s="34">
        <v>2</v>
      </c>
      <c r="F59" s="33"/>
      <c r="G59" s="34">
        <v>27</v>
      </c>
      <c r="H59" s="34">
        <v>24</v>
      </c>
      <c r="I59" s="34">
        <v>18</v>
      </c>
      <c r="J59" s="73">
        <v>249</v>
      </c>
    </row>
    <row r="60" spans="1:10" x14ac:dyDescent="0.3">
      <c r="A60" s="71" t="s">
        <v>115</v>
      </c>
      <c r="B60" s="34">
        <v>58</v>
      </c>
      <c r="C60" s="34">
        <v>1</v>
      </c>
      <c r="D60" s="34">
        <v>2</v>
      </c>
      <c r="E60" s="33"/>
      <c r="F60" s="34">
        <v>1</v>
      </c>
      <c r="G60" s="34">
        <v>12</v>
      </c>
      <c r="H60" s="34">
        <v>6</v>
      </c>
      <c r="I60" s="34">
        <v>1</v>
      </c>
      <c r="J60" s="73">
        <v>81</v>
      </c>
    </row>
    <row r="61" spans="1:10" x14ac:dyDescent="0.3">
      <c r="A61" s="71" t="s">
        <v>196</v>
      </c>
      <c r="B61" s="34">
        <v>2</v>
      </c>
      <c r="C61" s="33"/>
      <c r="D61" s="33"/>
      <c r="E61" s="33"/>
      <c r="F61" s="33"/>
      <c r="G61" s="33"/>
      <c r="H61" s="33"/>
      <c r="I61" s="33"/>
      <c r="J61" s="73">
        <v>2</v>
      </c>
    </row>
    <row r="62" spans="1:10" x14ac:dyDescent="0.3">
      <c r="A62" s="71" t="s">
        <v>87</v>
      </c>
      <c r="B62" s="34">
        <v>18</v>
      </c>
      <c r="C62" s="34">
        <v>1</v>
      </c>
      <c r="D62" s="34">
        <v>1</v>
      </c>
      <c r="E62" s="33"/>
      <c r="F62" s="33"/>
      <c r="G62" s="34">
        <v>11</v>
      </c>
      <c r="H62" s="34">
        <v>4</v>
      </c>
      <c r="I62" s="34">
        <v>33</v>
      </c>
      <c r="J62" s="73">
        <v>68</v>
      </c>
    </row>
    <row r="63" spans="1:10" x14ac:dyDescent="0.3">
      <c r="A63" s="72" t="s">
        <v>175</v>
      </c>
      <c r="B63" s="34">
        <v>7</v>
      </c>
      <c r="C63" s="33"/>
      <c r="D63" s="33"/>
      <c r="E63" s="33"/>
      <c r="F63" s="33"/>
      <c r="G63" s="33"/>
      <c r="H63" s="33"/>
      <c r="I63" s="33"/>
      <c r="J63" s="73">
        <v>7</v>
      </c>
    </row>
    <row r="64" spans="1:10" x14ac:dyDescent="0.3">
      <c r="A64" s="72" t="s">
        <v>198</v>
      </c>
      <c r="B64" s="34">
        <v>5</v>
      </c>
      <c r="C64" s="33"/>
      <c r="D64" s="33"/>
      <c r="E64" s="33"/>
      <c r="F64" s="33"/>
      <c r="G64" s="33"/>
      <c r="H64" s="33"/>
      <c r="I64" s="33"/>
      <c r="J64" s="73">
        <v>5</v>
      </c>
    </row>
    <row r="65" spans="1:10" x14ac:dyDescent="0.3">
      <c r="A65" s="71" t="s">
        <v>131</v>
      </c>
      <c r="B65" s="34">
        <v>31</v>
      </c>
      <c r="C65" s="33"/>
      <c r="D65" s="33"/>
      <c r="E65" s="33"/>
      <c r="F65" s="33"/>
      <c r="G65" s="34">
        <v>4</v>
      </c>
      <c r="H65" s="34">
        <v>1</v>
      </c>
      <c r="I65" s="34">
        <v>2</v>
      </c>
      <c r="J65" s="73">
        <v>38</v>
      </c>
    </row>
    <row r="66" spans="1:10" x14ac:dyDescent="0.3">
      <c r="A66" s="72" t="s">
        <v>144</v>
      </c>
      <c r="B66" s="34">
        <v>1</v>
      </c>
      <c r="C66" s="33"/>
      <c r="D66" s="33"/>
      <c r="E66" s="33"/>
      <c r="F66" s="33"/>
      <c r="G66" s="33"/>
      <c r="H66" s="33"/>
      <c r="I66" s="33"/>
      <c r="J66" s="73">
        <v>1</v>
      </c>
    </row>
    <row r="67" spans="1:10" x14ac:dyDescent="0.3">
      <c r="A67" s="72" t="s">
        <v>188</v>
      </c>
      <c r="B67" s="34">
        <v>1</v>
      </c>
      <c r="C67" s="33"/>
      <c r="D67" s="33"/>
      <c r="E67" s="33"/>
      <c r="F67" s="33"/>
      <c r="G67" s="33"/>
      <c r="H67" s="33"/>
      <c r="I67" s="33"/>
      <c r="J67" s="73">
        <v>1</v>
      </c>
    </row>
    <row r="68" spans="1:10" x14ac:dyDescent="0.3">
      <c r="A68" s="71" t="s">
        <v>78</v>
      </c>
      <c r="B68" s="34">
        <v>24</v>
      </c>
      <c r="C68" s="33"/>
      <c r="D68" s="34">
        <v>1</v>
      </c>
      <c r="E68" s="34">
        <v>1</v>
      </c>
      <c r="F68" s="33"/>
      <c r="G68" s="34">
        <v>33</v>
      </c>
      <c r="H68" s="34">
        <v>9</v>
      </c>
      <c r="I68" s="34">
        <v>10</v>
      </c>
      <c r="J68" s="73">
        <v>78</v>
      </c>
    </row>
    <row r="69" spans="1:10" x14ac:dyDescent="0.3">
      <c r="A69" s="72" t="s">
        <v>95</v>
      </c>
      <c r="B69" s="34">
        <v>25</v>
      </c>
      <c r="C69" s="34">
        <v>1</v>
      </c>
      <c r="D69" s="34">
        <v>1</v>
      </c>
      <c r="E69" s="33"/>
      <c r="F69" s="33"/>
      <c r="G69" s="34">
        <v>3</v>
      </c>
      <c r="H69" s="33"/>
      <c r="I69" s="34">
        <v>11</v>
      </c>
      <c r="J69" s="73">
        <v>41</v>
      </c>
    </row>
    <row r="70" spans="1:10" x14ac:dyDescent="0.3">
      <c r="A70" s="72" t="s">
        <v>137</v>
      </c>
      <c r="B70" s="34">
        <v>5</v>
      </c>
      <c r="C70" s="33"/>
      <c r="D70" s="33"/>
      <c r="E70" s="33"/>
      <c r="F70" s="33"/>
      <c r="G70" s="34">
        <v>2</v>
      </c>
      <c r="H70" s="34">
        <v>2</v>
      </c>
      <c r="I70" s="33"/>
      <c r="J70" s="73">
        <v>9</v>
      </c>
    </row>
    <row r="71" spans="1:10" x14ac:dyDescent="0.3">
      <c r="A71" s="72" t="s">
        <v>149</v>
      </c>
      <c r="B71" s="34">
        <v>8</v>
      </c>
      <c r="C71" s="33"/>
      <c r="D71" s="33"/>
      <c r="E71" s="33"/>
      <c r="F71" s="33"/>
      <c r="G71" s="34">
        <v>1</v>
      </c>
      <c r="H71" s="34">
        <v>2</v>
      </c>
      <c r="I71" s="33"/>
      <c r="J71" s="73">
        <v>11</v>
      </c>
    </row>
    <row r="72" spans="1:10" x14ac:dyDescent="0.3">
      <c r="A72" s="72" t="s">
        <v>159</v>
      </c>
      <c r="B72" s="34">
        <v>1</v>
      </c>
      <c r="C72" s="33"/>
      <c r="D72" s="33"/>
      <c r="E72" s="33"/>
      <c r="F72" s="33"/>
      <c r="G72" s="33"/>
      <c r="H72" s="33"/>
      <c r="I72" s="33"/>
      <c r="J72" s="73">
        <v>1</v>
      </c>
    </row>
    <row r="73" spans="1:10" x14ac:dyDescent="0.3">
      <c r="A73" s="72" t="s">
        <v>181</v>
      </c>
      <c r="B73" s="34">
        <v>1</v>
      </c>
      <c r="C73" s="33"/>
      <c r="D73" s="33"/>
      <c r="E73" s="33"/>
      <c r="F73" s="33"/>
      <c r="G73" s="33"/>
      <c r="H73" s="33"/>
      <c r="I73" s="33"/>
      <c r="J73" s="73">
        <v>1</v>
      </c>
    </row>
    <row r="74" spans="1:10" x14ac:dyDescent="0.3">
      <c r="A74" s="72" t="s">
        <v>186</v>
      </c>
      <c r="B74" s="34">
        <v>1</v>
      </c>
      <c r="C74" s="33"/>
      <c r="D74" s="33"/>
      <c r="E74" s="33"/>
      <c r="F74" s="33"/>
      <c r="G74" s="33"/>
      <c r="H74" s="33"/>
      <c r="I74" s="33"/>
      <c r="J74" s="73">
        <v>1</v>
      </c>
    </row>
    <row r="75" spans="1:10" x14ac:dyDescent="0.3">
      <c r="A75" s="71" t="s">
        <v>179</v>
      </c>
      <c r="B75" s="34">
        <v>16</v>
      </c>
      <c r="C75" s="33"/>
      <c r="D75" s="33"/>
      <c r="E75" s="33"/>
      <c r="F75" s="33"/>
      <c r="G75" s="34">
        <v>1</v>
      </c>
      <c r="H75" s="33"/>
      <c r="I75" s="33"/>
      <c r="J75" s="73">
        <v>17</v>
      </c>
    </row>
    <row r="76" spans="1:10" x14ac:dyDescent="0.3">
      <c r="A76" s="71" t="s">
        <v>97</v>
      </c>
      <c r="B76" s="34">
        <v>26</v>
      </c>
      <c r="C76" s="34">
        <v>3</v>
      </c>
      <c r="D76" s="33"/>
      <c r="E76" s="34">
        <v>1</v>
      </c>
      <c r="F76" s="33"/>
      <c r="G76" s="34">
        <v>8</v>
      </c>
      <c r="H76" s="34">
        <v>3</v>
      </c>
      <c r="I76" s="34">
        <v>9</v>
      </c>
      <c r="J76" s="73">
        <v>50</v>
      </c>
    </row>
    <row r="77" spans="1:10" x14ac:dyDescent="0.3">
      <c r="A77" s="71" t="s">
        <v>128</v>
      </c>
      <c r="B77" s="34">
        <v>5</v>
      </c>
      <c r="C77" s="33"/>
      <c r="D77" s="33"/>
      <c r="E77" s="33"/>
      <c r="F77" s="33"/>
      <c r="G77" s="33"/>
      <c r="H77" s="33"/>
      <c r="I77" s="33"/>
      <c r="J77" s="73">
        <v>5</v>
      </c>
    </row>
    <row r="78" spans="1:10" x14ac:dyDescent="0.3">
      <c r="A78" s="71" t="s">
        <v>77</v>
      </c>
      <c r="B78" s="34">
        <v>15</v>
      </c>
      <c r="C78" s="34">
        <v>1</v>
      </c>
      <c r="D78" s="33"/>
      <c r="E78" s="33"/>
      <c r="F78" s="33"/>
      <c r="G78" s="34">
        <v>4</v>
      </c>
      <c r="H78" s="34">
        <v>3</v>
      </c>
      <c r="I78" s="34">
        <v>4</v>
      </c>
      <c r="J78" s="73">
        <v>27</v>
      </c>
    </row>
    <row r="79" spans="1:10" x14ac:dyDescent="0.3">
      <c r="A79" s="72" t="s">
        <v>101</v>
      </c>
      <c r="B79" s="34">
        <v>27</v>
      </c>
      <c r="C79" s="34">
        <v>1</v>
      </c>
      <c r="D79" s="33"/>
      <c r="E79" s="33"/>
      <c r="F79" s="33"/>
      <c r="G79" s="34">
        <v>4</v>
      </c>
      <c r="H79" s="34">
        <v>4</v>
      </c>
      <c r="I79" s="34">
        <v>5</v>
      </c>
      <c r="J79" s="73">
        <v>41</v>
      </c>
    </row>
    <row r="80" spans="1:10" x14ac:dyDescent="0.3">
      <c r="A80" s="71" t="s">
        <v>67</v>
      </c>
      <c r="B80" s="34">
        <v>72</v>
      </c>
      <c r="C80" s="34">
        <v>5</v>
      </c>
      <c r="D80" s="34">
        <v>3</v>
      </c>
      <c r="E80" s="34">
        <v>1</v>
      </c>
      <c r="F80" s="33"/>
      <c r="G80" s="34">
        <v>35</v>
      </c>
      <c r="H80" s="34">
        <v>11</v>
      </c>
      <c r="I80" s="34">
        <v>46</v>
      </c>
      <c r="J80" s="73">
        <v>173</v>
      </c>
    </row>
    <row r="81" spans="1:10" x14ac:dyDescent="0.3">
      <c r="A81" s="72" t="s">
        <v>74</v>
      </c>
      <c r="B81" s="34">
        <v>27</v>
      </c>
      <c r="C81" s="34">
        <v>2</v>
      </c>
      <c r="D81" s="34">
        <v>2</v>
      </c>
      <c r="E81" s="33"/>
      <c r="F81" s="33"/>
      <c r="G81" s="34">
        <v>21</v>
      </c>
      <c r="H81" s="34">
        <v>8</v>
      </c>
      <c r="I81" s="34">
        <v>17</v>
      </c>
      <c r="J81" s="73">
        <v>77</v>
      </c>
    </row>
    <row r="82" spans="1:10" x14ac:dyDescent="0.3">
      <c r="A82" s="72" t="s">
        <v>126</v>
      </c>
      <c r="B82" s="34">
        <v>15</v>
      </c>
      <c r="C82" s="33"/>
      <c r="D82" s="33"/>
      <c r="E82" s="33"/>
      <c r="F82" s="33"/>
      <c r="G82" s="34">
        <v>5</v>
      </c>
      <c r="H82" s="34">
        <v>1</v>
      </c>
      <c r="I82" s="33"/>
      <c r="J82" s="73">
        <v>21</v>
      </c>
    </row>
    <row r="83" spans="1:10" x14ac:dyDescent="0.3">
      <c r="A83" s="71" t="s">
        <v>60</v>
      </c>
      <c r="B83" s="34">
        <v>17</v>
      </c>
      <c r="C83" s="33"/>
      <c r="D83" s="34">
        <v>1</v>
      </c>
      <c r="E83" s="33"/>
      <c r="F83" s="33"/>
      <c r="G83" s="34">
        <v>9</v>
      </c>
      <c r="H83" s="33"/>
      <c r="I83" s="33"/>
      <c r="J83" s="73">
        <v>27</v>
      </c>
    </row>
    <row r="84" spans="1:10" x14ac:dyDescent="0.3">
      <c r="A84" s="71" t="s">
        <v>33</v>
      </c>
      <c r="B84" s="34">
        <v>1</v>
      </c>
      <c r="C84" s="33"/>
      <c r="D84" s="33"/>
      <c r="E84" s="33"/>
      <c r="F84" s="33"/>
      <c r="G84" s="34">
        <v>1</v>
      </c>
      <c r="H84" s="33"/>
      <c r="I84" s="34">
        <v>1</v>
      </c>
      <c r="J84" s="73">
        <v>3</v>
      </c>
    </row>
    <row r="85" spans="1:10" x14ac:dyDescent="0.3">
      <c r="A85" s="71" t="s">
        <v>111</v>
      </c>
      <c r="B85" s="34">
        <v>32</v>
      </c>
      <c r="C85" s="34">
        <v>1</v>
      </c>
      <c r="D85" s="33"/>
      <c r="E85" s="33"/>
      <c r="F85" s="33"/>
      <c r="G85" s="34">
        <v>15</v>
      </c>
      <c r="H85" s="34">
        <v>15</v>
      </c>
      <c r="I85" s="34">
        <v>5</v>
      </c>
      <c r="J85" s="73">
        <v>68</v>
      </c>
    </row>
    <row r="86" spans="1:10" x14ac:dyDescent="0.3">
      <c r="A86" s="71" t="s">
        <v>29</v>
      </c>
      <c r="B86" s="34">
        <v>26</v>
      </c>
      <c r="C86" s="34">
        <v>3</v>
      </c>
      <c r="D86" s="34">
        <v>5</v>
      </c>
      <c r="E86" s="33"/>
      <c r="F86" s="34">
        <v>1</v>
      </c>
      <c r="G86" s="34">
        <v>28</v>
      </c>
      <c r="H86" s="34">
        <v>19</v>
      </c>
      <c r="I86" s="34">
        <v>24</v>
      </c>
      <c r="J86" s="73">
        <v>106</v>
      </c>
    </row>
    <row r="87" spans="1:10" x14ac:dyDescent="0.3">
      <c r="A87" s="71" t="s">
        <v>200</v>
      </c>
      <c r="B87" s="34">
        <v>35</v>
      </c>
      <c r="C87" s="33"/>
      <c r="D87" s="33"/>
      <c r="E87" s="33"/>
      <c r="F87" s="33"/>
      <c r="G87" s="34">
        <v>1</v>
      </c>
      <c r="H87" s="34">
        <v>1</v>
      </c>
      <c r="I87" s="33"/>
      <c r="J87" s="73">
        <v>37</v>
      </c>
    </row>
    <row r="88" spans="1:10" x14ac:dyDescent="0.3">
      <c r="A88" s="71" t="s">
        <v>76</v>
      </c>
      <c r="B88" s="34">
        <v>11</v>
      </c>
      <c r="C88" s="34">
        <v>1</v>
      </c>
      <c r="D88" s="34">
        <v>1</v>
      </c>
      <c r="E88" s="34">
        <v>1</v>
      </c>
      <c r="F88" s="33"/>
      <c r="G88" s="34">
        <v>3</v>
      </c>
      <c r="H88" s="34">
        <v>3</v>
      </c>
      <c r="I88" s="34">
        <v>22</v>
      </c>
      <c r="J88" s="73">
        <v>42</v>
      </c>
    </row>
    <row r="89" spans="1:10" x14ac:dyDescent="0.3">
      <c r="A89" s="71" t="s">
        <v>129</v>
      </c>
      <c r="B89" s="34">
        <v>6</v>
      </c>
      <c r="C89" s="33"/>
      <c r="D89" s="33"/>
      <c r="E89" s="33"/>
      <c r="F89" s="33"/>
      <c r="G89" s="33">
        <v>1</v>
      </c>
      <c r="H89" s="34">
        <v>1</v>
      </c>
      <c r="I89" s="33"/>
      <c r="J89" s="73">
        <v>8</v>
      </c>
    </row>
    <row r="90" spans="1:10" x14ac:dyDescent="0.3">
      <c r="A90" s="71" t="s">
        <v>47</v>
      </c>
      <c r="B90" s="34">
        <v>23</v>
      </c>
      <c r="C90" s="33"/>
      <c r="D90" s="33"/>
      <c r="E90" s="33"/>
      <c r="F90" s="33"/>
      <c r="G90" s="34">
        <v>9</v>
      </c>
      <c r="H90" s="34">
        <v>4</v>
      </c>
      <c r="I90" s="34">
        <v>8</v>
      </c>
      <c r="J90" s="73">
        <v>44</v>
      </c>
    </row>
    <row r="91" spans="1:10" x14ac:dyDescent="0.3">
      <c r="A91" s="71" t="s">
        <v>171</v>
      </c>
      <c r="B91" s="34">
        <v>6</v>
      </c>
      <c r="C91" s="33"/>
      <c r="D91" s="33"/>
      <c r="E91" s="33"/>
      <c r="F91" s="33"/>
      <c r="G91" s="33"/>
      <c r="H91" s="33"/>
      <c r="I91" s="33"/>
      <c r="J91" s="73">
        <v>6</v>
      </c>
    </row>
    <row r="92" spans="1:10" x14ac:dyDescent="0.3">
      <c r="A92" s="71" t="s">
        <v>66</v>
      </c>
      <c r="B92" s="34">
        <v>1</v>
      </c>
      <c r="C92" s="33"/>
      <c r="D92" s="33"/>
      <c r="E92" s="33"/>
      <c r="F92" s="33"/>
      <c r="G92" s="33"/>
      <c r="H92" s="33"/>
      <c r="I92" s="33"/>
      <c r="J92" s="73">
        <v>1</v>
      </c>
    </row>
    <row r="93" spans="1:10" x14ac:dyDescent="0.3">
      <c r="A93" s="71" t="s">
        <v>107</v>
      </c>
      <c r="B93" s="34">
        <v>76</v>
      </c>
      <c r="C93" s="34">
        <v>3</v>
      </c>
      <c r="D93" s="33"/>
      <c r="E93" s="34">
        <v>1</v>
      </c>
      <c r="F93" s="33"/>
      <c r="G93" s="34">
        <v>27</v>
      </c>
      <c r="H93" s="34">
        <v>7</v>
      </c>
      <c r="I93" s="34">
        <v>2</v>
      </c>
      <c r="J93" s="73">
        <v>116</v>
      </c>
    </row>
    <row r="94" spans="1:10" x14ac:dyDescent="0.3">
      <c r="A94" s="71" t="s">
        <v>173</v>
      </c>
      <c r="B94" s="34">
        <v>3</v>
      </c>
      <c r="C94" s="33"/>
      <c r="D94" s="33"/>
      <c r="E94" s="33"/>
      <c r="F94" s="33"/>
      <c r="G94" s="33"/>
      <c r="H94" s="33"/>
      <c r="I94" s="33"/>
      <c r="J94" s="73">
        <v>3</v>
      </c>
    </row>
    <row r="95" spans="1:10" x14ac:dyDescent="0.3">
      <c r="A95" s="71" t="s">
        <v>189</v>
      </c>
      <c r="B95" s="34">
        <v>1</v>
      </c>
      <c r="C95" s="33"/>
      <c r="D95" s="33"/>
      <c r="E95" s="33"/>
      <c r="F95" s="33"/>
      <c r="G95" s="33"/>
      <c r="H95" s="33"/>
      <c r="I95" s="33"/>
      <c r="J95" s="73">
        <v>1</v>
      </c>
    </row>
    <row r="96" spans="1:10" x14ac:dyDescent="0.3">
      <c r="A96" s="72" t="s">
        <v>103</v>
      </c>
      <c r="B96" s="34">
        <v>57</v>
      </c>
      <c r="C96" s="34">
        <v>1</v>
      </c>
      <c r="D96" s="33"/>
      <c r="E96" s="33"/>
      <c r="F96" s="33"/>
      <c r="G96" s="34">
        <v>5</v>
      </c>
      <c r="H96" s="34">
        <v>3</v>
      </c>
      <c r="I96" s="33"/>
      <c r="J96" s="73">
        <v>66</v>
      </c>
    </row>
    <row r="97" spans="1:10" x14ac:dyDescent="0.3">
      <c r="A97" s="71" t="s">
        <v>146</v>
      </c>
      <c r="B97" s="34">
        <v>1</v>
      </c>
      <c r="C97" s="33"/>
      <c r="D97" s="33"/>
      <c r="E97" s="33"/>
      <c r="F97" s="33"/>
      <c r="G97" s="33"/>
      <c r="H97" s="33"/>
      <c r="I97" s="33"/>
      <c r="J97" s="73">
        <v>1</v>
      </c>
    </row>
    <row r="98" spans="1:10" x14ac:dyDescent="0.3">
      <c r="A98" s="71" t="s">
        <v>192</v>
      </c>
      <c r="B98" s="34">
        <v>4</v>
      </c>
      <c r="C98" s="33"/>
      <c r="D98" s="33"/>
      <c r="E98" s="33"/>
      <c r="F98" s="33"/>
      <c r="G98" s="33"/>
      <c r="H98" s="33"/>
      <c r="I98" s="33"/>
      <c r="J98" s="73">
        <v>4</v>
      </c>
    </row>
    <row r="99" spans="1:10" x14ac:dyDescent="0.3">
      <c r="A99" s="77" t="s">
        <v>256</v>
      </c>
      <c r="B99" s="78">
        <v>1492</v>
      </c>
      <c r="C99" s="78">
        <v>42</v>
      </c>
      <c r="D99" s="78">
        <v>40</v>
      </c>
      <c r="E99" s="78">
        <v>10</v>
      </c>
      <c r="F99" s="78">
        <v>4</v>
      </c>
      <c r="G99" s="78">
        <v>427</v>
      </c>
      <c r="H99" s="78">
        <v>220</v>
      </c>
      <c r="I99" s="78">
        <v>483</v>
      </c>
      <c r="J99" s="79">
        <v>2718</v>
      </c>
    </row>
    <row r="100" spans="1:10" x14ac:dyDescent="0.3">
      <c r="A100" s="32"/>
    </row>
    <row r="101" spans="1:10" x14ac:dyDescent="0.3">
      <c r="A101" s="32"/>
    </row>
    <row r="102" spans="1:10" x14ac:dyDescent="0.3">
      <c r="A102" s="32"/>
    </row>
    <row r="103" spans="1:10" x14ac:dyDescent="0.3">
      <c r="A103" s="32"/>
    </row>
  </sheetData>
  <mergeCells count="1">
    <mergeCell ref="B1:J1"/>
  </mergeCells>
  <conditionalFormatting sqref="A1:A1048576">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8386F3E6401A439D05EF37340976CF" ma:contentTypeVersion="22" ma:contentTypeDescription="Create a new document." ma:contentTypeScope="" ma:versionID="ec9782387c68ca029724e1f2255115cc">
  <xsd:schema xmlns:xsd="http://www.w3.org/2001/XMLSchema" xmlns:xs="http://www.w3.org/2001/XMLSchema" xmlns:p="http://schemas.microsoft.com/office/2006/metadata/properties" xmlns:ns1="http://schemas.microsoft.com/sharepoint/v3" xmlns:ns2="43877105-fa5f-4d40-a7cd-40427f012504" xmlns:ns3="71864860-bdd4-449b-b0c8-1a47e428a5f8" targetNamespace="http://schemas.microsoft.com/office/2006/metadata/properties" ma:root="true" ma:fieldsID="97f929833c4877a030d9c1276af9305c" ns1:_="" ns2:_="" ns3:_="">
    <xsd:import namespace="http://schemas.microsoft.com/sharepoint/v3"/>
    <xsd:import namespace="43877105-fa5f-4d40-a7cd-40427f012504"/>
    <xsd:import namespace="71864860-bdd4-449b-b0c8-1a47e428a5f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877105-fa5f-4d40-a7cd-40427f01250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7" nillable="true" ma:displayName="Taxonomy Catch All Column" ma:hidden="true" ma:list="{5cba90ce-ea2a-43d5-8ea7-e93964cd8efa}" ma:internalName="TaxCatchAll" ma:showField="CatchAllData" ma:web="43877105-fa5f-4d40-a7cd-40427f01250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864860-bdd4-449b-b0c8-1a47e428a5f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a20c4b8-d66e-485a-b0a9-f8dae2350c93" ma:termSetId="09814cd3-568e-fe90-9814-8d621ff8fb84" ma:anchorId="fba54fb3-c3e1-fe81-a776-ca4b69148c4d" ma:open="tru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43877105-fa5f-4d40-a7cd-40427f012504">
      <UserInfo>
        <DisplayName>Jorge Tapia</DisplayName>
        <AccountId>574</AccountId>
        <AccountType/>
      </UserInfo>
      <UserInfo>
        <DisplayName>Isabella Dennis</DisplayName>
        <AccountId>1320</AccountId>
        <AccountType/>
      </UserInfo>
      <UserInfo>
        <DisplayName>Alicia Albertson</DisplayName>
        <AccountId>1620</AccountId>
        <AccountType/>
      </UserInfo>
      <UserInfo>
        <DisplayName>Bianca Vargas</DisplayName>
        <AccountId>2278</AccountId>
        <AccountType/>
      </UserInfo>
      <UserInfo>
        <DisplayName>Bevin Kuhn</DisplayName>
        <AccountId>1891</AccountId>
        <AccountType/>
      </UserInfo>
    </SharedWithUsers>
    <lcf76f155ced4ddcb4097134ff3c332f xmlns="71864860-bdd4-449b-b0c8-1a47e428a5f8">
      <Terms xmlns="http://schemas.microsoft.com/office/infopath/2007/PartnerControls"/>
    </lcf76f155ced4ddcb4097134ff3c332f>
    <TaxCatchAll xmlns="43877105-fa5f-4d40-a7cd-40427f0125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C05DD-0C83-4A8D-A38E-E677A5E9D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877105-fa5f-4d40-a7cd-40427f012504"/>
    <ds:schemaRef ds:uri="71864860-bdd4-449b-b0c8-1a47e428a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74754E-C546-4D7C-A882-F26A51FDAF50}">
  <ds:schemaRefs>
    <ds:schemaRef ds:uri="http://schemas.microsoft.com/office/2006/metadata/properties"/>
    <ds:schemaRef ds:uri="http://schemas.microsoft.com/office/infopath/2007/PartnerControls"/>
    <ds:schemaRef ds:uri="http://schemas.microsoft.com/sharepoint/v3"/>
    <ds:schemaRef ds:uri="43877105-fa5f-4d40-a7cd-40427f012504"/>
    <ds:schemaRef ds:uri="71864860-bdd4-449b-b0c8-1a47e428a5f8"/>
  </ds:schemaRefs>
</ds:datastoreItem>
</file>

<file path=customXml/itemProps3.xml><?xml version="1.0" encoding="utf-8"?>
<ds:datastoreItem xmlns:ds="http://schemas.openxmlformats.org/officeDocument/2006/customXml" ds:itemID="{7C03467B-EC8D-4D29-AC91-731125FC43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Matrix - Per Operation</vt:lpstr>
      <vt:lpstr>Services Provided</vt:lpstr>
      <vt:lpstr>Summary Totals</vt:lpstr>
      <vt:lpstr>Deduplicated Source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Pranita Amatya</dc:creator>
  <cp:keywords/>
  <dc:description/>
  <cp:lastModifiedBy>Jorge Tapia</cp:lastModifiedBy>
  <cp:revision/>
  <dcterms:created xsi:type="dcterms:W3CDTF">2024-03-04T17:14:16Z</dcterms:created>
  <dcterms:modified xsi:type="dcterms:W3CDTF">2024-06-26T16:55:12Z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0x010100788386F3E6401A439D05EF37340976CF</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{"FileActivityType":"9","FileActivityTimeStamp":"2024-05-09T23:35:49.193Z","FileActivityUsersOnPage":[{"DisplayName":"Matthew Mitnick","Id":"matthewm@lahsa.org"},{"DisplayName":"Bianca Vargas","Id":"biancav@lahsa.org"},{"DisplayName":"Jorge Tapia","Id":"jorget@lahsa.org"},{"DisplayName":"Isabella Dennis","Id":"isabellad@lahsa.org"},{"DisplayName":"Bevin Kuhn","Id":"bevink@lahsa.org"}],"FileActivityNavigationId":null}</vt:lpwstr>
  </property>
  <property fmtid="{D5CDD505-2E9C-101B-9397-08002B2CF9AE}" pid="6" name="TriggerFlowInfo">
    <vt:lpwstr/>
  </property>
  <property fmtid="{D5CDD505-2E9C-101B-9397-08002B2CF9AE}" pid="7" name="MediaServiceImageTags">
    <vt:lpwstr/>
  </property>
</Properties>
</file>